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4797C6C-2920-4FFD-94CA-5789D4216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mientoContinuo (2)" sheetId="3" r:id="rId1"/>
    <sheet name="CimientoContinuo" sheetId="2" r:id="rId2"/>
    <sheet name="Ejercici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32" i="3" s="1"/>
  <c r="F31" i="3" s="1"/>
  <c r="E91" i="3"/>
  <c r="G82" i="3"/>
  <c r="G81" i="3"/>
  <c r="C27" i="3"/>
  <c r="C30" i="3" s="1"/>
  <c r="C26" i="3"/>
  <c r="C22" i="3"/>
  <c r="C40" i="3" s="1"/>
  <c r="C21" i="3"/>
  <c r="C19" i="3"/>
  <c r="C60" i="3" s="1"/>
  <c r="C18" i="3"/>
  <c r="I8" i="3"/>
  <c r="J6" i="3"/>
  <c r="G4" i="3"/>
  <c r="C31" i="2"/>
  <c r="C32" i="2"/>
  <c r="G136" i="1"/>
  <c r="E136" i="1"/>
  <c r="C136" i="1"/>
  <c r="G4" i="1"/>
  <c r="F4" i="1"/>
  <c r="I6" i="1"/>
  <c r="H8" i="1"/>
  <c r="C87" i="1"/>
  <c r="B87" i="1"/>
  <c r="G4" i="2"/>
  <c r="J6" i="2"/>
  <c r="I8" i="2"/>
  <c r="B118" i="1"/>
  <c r="B115" i="1"/>
  <c r="B113" i="1"/>
  <c r="D115" i="1"/>
  <c r="D118" i="1"/>
  <c r="B119" i="1"/>
  <c r="B112" i="1" s="1"/>
  <c r="D113" i="1"/>
  <c r="F136" i="1" s="1"/>
  <c r="B3" i="1"/>
  <c r="E92" i="2"/>
  <c r="G82" i="2"/>
  <c r="G81" i="2"/>
  <c r="C27" i="2"/>
  <c r="C26" i="2"/>
  <c r="C22" i="2"/>
  <c r="C40" i="2" s="1"/>
  <c r="C21" i="2"/>
  <c r="C19" i="2"/>
  <c r="C18" i="2"/>
  <c r="D91" i="1"/>
  <c r="F81" i="1"/>
  <c r="B26" i="1"/>
  <c r="B27" i="1"/>
  <c r="B21" i="1"/>
  <c r="B22" i="1"/>
  <c r="B18" i="1"/>
  <c r="B19" i="1"/>
  <c r="F82" i="1"/>
  <c r="C41" i="2" l="1"/>
  <c r="F30" i="3"/>
  <c r="C50" i="3"/>
  <c r="C59" i="3"/>
  <c r="C41" i="3"/>
  <c r="C31" i="3"/>
  <c r="G11" i="2"/>
  <c r="B30" i="1"/>
  <c r="D112" i="1"/>
  <c r="B31" i="1"/>
  <c r="F11" i="1" s="1"/>
  <c r="F30" i="2"/>
  <c r="C95" i="2"/>
  <c r="C110" i="2" s="1"/>
  <c r="C74" i="2"/>
  <c r="C76" i="2" s="1"/>
  <c r="C79" i="2" s="1"/>
  <c r="C73" i="2"/>
  <c r="F31" i="2"/>
  <c r="C36" i="2" s="1"/>
  <c r="C59" i="2"/>
  <c r="C30" i="2"/>
  <c r="C60" i="2"/>
  <c r="C37" i="2" l="1"/>
  <c r="C73" i="3"/>
  <c r="C51" i="3"/>
  <c r="C56" i="3" s="1"/>
  <c r="C62" i="3" s="1"/>
  <c r="C37" i="3"/>
  <c r="C94" i="3"/>
  <c r="C109" i="3" s="1"/>
  <c r="C74" i="3"/>
  <c r="C76" i="3" s="1"/>
  <c r="C79" i="3" s="1"/>
  <c r="C36" i="3"/>
  <c r="G11" i="3"/>
  <c r="C43" i="3"/>
  <c r="C44" i="3"/>
  <c r="B130" i="1"/>
  <c r="B131" i="1"/>
  <c r="D116" i="1"/>
  <c r="B122" i="1" s="1"/>
  <c r="B116" i="1"/>
  <c r="B32" i="1"/>
  <c r="E31" i="1"/>
  <c r="E30" i="1"/>
  <c r="B74" i="1"/>
  <c r="B76" i="1" s="1"/>
  <c r="B79" i="1" s="1"/>
  <c r="B94" i="1"/>
  <c r="B109" i="1" s="1"/>
  <c r="B73" i="1"/>
  <c r="C44" i="2"/>
  <c r="C46" i="2" s="1"/>
  <c r="C43" i="2"/>
  <c r="D79" i="2"/>
  <c r="C51" i="2"/>
  <c r="C50" i="2"/>
  <c r="B40" i="1"/>
  <c r="B60" i="1"/>
  <c r="B59" i="1"/>
  <c r="B41" i="1"/>
  <c r="D79" i="3" l="1"/>
  <c r="C81" i="3" s="1"/>
  <c r="C82" i="3" s="1"/>
  <c r="C55" i="3"/>
  <c r="C46" i="3"/>
  <c r="C65" i="3"/>
  <c r="D65" i="3"/>
  <c r="B123" i="1"/>
  <c r="C81" i="2"/>
  <c r="C82" i="2" s="1"/>
  <c r="C84" i="2" s="1"/>
  <c r="C80" i="2"/>
  <c r="C56" i="2"/>
  <c r="C62" i="2" s="1"/>
  <c r="C65" i="2" s="1"/>
  <c r="C55" i="2"/>
  <c r="B37" i="1"/>
  <c r="B51" i="1"/>
  <c r="B50" i="1"/>
  <c r="B36" i="1"/>
  <c r="C79" i="1"/>
  <c r="B43" i="1"/>
  <c r="B44" i="1"/>
  <c r="C80" i="3" l="1"/>
  <c r="C66" i="3"/>
  <c r="D66" i="3"/>
  <c r="C68" i="3" s="1"/>
  <c r="F102" i="3" s="1"/>
  <c r="C84" i="3"/>
  <c r="F98" i="3" s="1"/>
  <c r="E82" i="3"/>
  <c r="B128" i="1"/>
  <c r="B127" i="1"/>
  <c r="D65" i="2"/>
  <c r="D66" i="2" s="1"/>
  <c r="C68" i="2" s="1"/>
  <c r="F99" i="2"/>
  <c r="E82" i="2"/>
  <c r="B46" i="1"/>
  <c r="B80" i="1"/>
  <c r="B81" i="1"/>
  <c r="B82" i="1" s="1"/>
  <c r="D82" i="1" s="1"/>
  <c r="B56" i="1"/>
  <c r="B62" i="1" s="1"/>
  <c r="B65" i="1" s="1"/>
  <c r="B55" i="1"/>
  <c r="B133" i="1" l="1"/>
  <c r="B134" i="1"/>
  <c r="B136" i="1" s="1"/>
  <c r="D137" i="1" s="1"/>
  <c r="F103" i="2"/>
  <c r="C66" i="2"/>
  <c r="B84" i="1"/>
  <c r="E98" i="1" s="1"/>
  <c r="C65" i="1"/>
  <c r="B66" i="1" l="1"/>
  <c r="C66" i="1"/>
  <c r="B68" i="1" s="1"/>
  <c r="E102" i="1" s="1"/>
</calcChain>
</file>

<file path=xl/sharedStrings.xml><?xml version="1.0" encoding="utf-8"?>
<sst xmlns="http://schemas.openxmlformats.org/spreadsheetml/2006/main" count="388" uniqueCount="86">
  <si>
    <t>PL =</t>
  </si>
  <si>
    <t>PD =</t>
  </si>
  <si>
    <t>b =</t>
  </si>
  <si>
    <t>qa =</t>
  </si>
  <si>
    <t>H =</t>
  </si>
  <si>
    <t>f'c =</t>
  </si>
  <si>
    <t>fy =</t>
  </si>
  <si>
    <t xml:space="preserve">𝛾m =
</t>
  </si>
  <si>
    <t>m</t>
  </si>
  <si>
    <t>ton /m</t>
  </si>
  <si>
    <t>ton /m3</t>
  </si>
  <si>
    <t>kg/cm2</t>
  </si>
  <si>
    <t>ton /m2</t>
  </si>
  <si>
    <t>hz =</t>
  </si>
  <si>
    <t>cm</t>
  </si>
  <si>
    <t>d =</t>
  </si>
  <si>
    <t>Recubr</t>
  </si>
  <si>
    <t>Acero Ø</t>
  </si>
  <si>
    <t>N° Acero</t>
  </si>
  <si>
    <t>Diametro</t>
  </si>
  <si>
    <t>Área cm 2</t>
  </si>
  <si>
    <t>Diametro cm</t>
  </si>
  <si>
    <t>6 mm</t>
  </si>
  <si>
    <t>8 mm</t>
  </si>
  <si>
    <t>3/8"</t>
  </si>
  <si>
    <t>12 mm</t>
  </si>
  <si>
    <t>1/2 "</t>
  </si>
  <si>
    <t>5/8 "</t>
  </si>
  <si>
    <t>3/4 "</t>
  </si>
  <si>
    <t>1 "</t>
  </si>
  <si>
    <t>1 3/8 "</t>
  </si>
  <si>
    <t>Esfuerzo Neto del terreno</t>
  </si>
  <si>
    <t>ton / m2</t>
  </si>
  <si>
    <t>B =</t>
  </si>
  <si>
    <t>𝜎𝑛 =</t>
  </si>
  <si>
    <t>Ps / 𝜎𝑛</t>
  </si>
  <si>
    <t>Ps =</t>
  </si>
  <si>
    <t>ton / m</t>
  </si>
  <si>
    <t>Pu / B</t>
  </si>
  <si>
    <t>Vu =</t>
  </si>
  <si>
    <t>ton</t>
  </si>
  <si>
    <t>𝜎u =</t>
  </si>
  <si>
    <t>Verificación por fuerza cortante</t>
  </si>
  <si>
    <t>Vc =</t>
  </si>
  <si>
    <t>ØVc =</t>
  </si>
  <si>
    <t>Momento flexionante en la sección critica</t>
  </si>
  <si>
    <t>Mu =</t>
  </si>
  <si>
    <t>ton - m</t>
  </si>
  <si>
    <t>Acero de refuerzo</t>
  </si>
  <si>
    <t>As =</t>
  </si>
  <si>
    <t>cm2</t>
  </si>
  <si>
    <t>As min =</t>
  </si>
  <si>
    <t>0.0024 x b x d</t>
  </si>
  <si>
    <t>n =</t>
  </si>
  <si>
    <t>Usar</t>
  </si>
  <si>
    <t>Acero Ø :</t>
  </si>
  <si>
    <t>s =</t>
  </si>
  <si>
    <t>Acero Transversal (contracción y temperatura )</t>
  </si>
  <si>
    <t>Ast =</t>
  </si>
  <si>
    <t>0.0018 x b x hz</t>
  </si>
  <si>
    <t>Recubri.</t>
  </si>
  <si>
    <t>S ≤</t>
  </si>
  <si>
    <t>5h</t>
  </si>
  <si>
    <t>450 mm</t>
  </si>
  <si>
    <t>( m )</t>
  </si>
  <si>
    <t>1  m</t>
  </si>
  <si>
    <t>Es =</t>
  </si>
  <si>
    <t>Ec =</t>
  </si>
  <si>
    <t>fr =</t>
  </si>
  <si>
    <t>I =</t>
  </si>
  <si>
    <t xml:space="preserve">As = </t>
  </si>
  <si>
    <t>At =</t>
  </si>
  <si>
    <t>Y =</t>
  </si>
  <si>
    <t>M</t>
  </si>
  <si>
    <t>(D mínimo)</t>
  </si>
  <si>
    <t>(Dmínimo)</t>
  </si>
  <si>
    <t>Nº V Acero</t>
  </si>
  <si>
    <t>recubri.</t>
  </si>
  <si>
    <t>Ø cm</t>
  </si>
  <si>
    <t>cm4</t>
  </si>
  <si>
    <t>t-m</t>
  </si>
  <si>
    <t>𝝈 =</t>
  </si>
  <si>
    <t>&lt;</t>
  </si>
  <si>
    <t>(Esfuerzo de concreto a la tracción)</t>
  </si>
  <si>
    <t>actua</t>
  </si>
  <si>
    <t>resiste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</si>
</sst>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3333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2" fontId="0" fillId="0" borderId="0" xfId="0" applyNumberForma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328612</xdr:colOff>
      <xdr:row>25</xdr:row>
      <xdr:rowOff>14287</xdr:rowOff>
    </xdr:from>
    <xdr:ext cx="18156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F76E45-882B-49EE-A24C-48CC1EBBCED6}"/>
                </a:ext>
              </a:extLst>
            </xdr:cNvPr>
            <xdr:cNvSpPr txBox="1"/>
          </xdr:nvSpPr>
          <xdr:spPr>
            <a:xfrm>
              <a:off x="2767012" y="47767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𝒏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𝒒𝒂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𝒎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𝑯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𝒉𝒛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F76E45-882B-49EE-A24C-48CC1EBBCED6}"/>
                </a:ext>
              </a:extLst>
            </xdr:cNvPr>
            <xdr:cNvSpPr txBox="1"/>
          </xdr:nvSpPr>
          <xdr:spPr>
            <a:xfrm>
              <a:off x="2767012" y="47767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𝒏=𝒒𝒂−𝜸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𝒎×𝑯−𝜸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𝒄×𝒉𝒛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290512</xdr:colOff>
      <xdr:row>34</xdr:row>
      <xdr:rowOff>14287</xdr:rowOff>
    </xdr:from>
    <xdr:ext cx="20942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A693772-CE21-4878-91C2-DB875BC35ED6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s-PE" sz="11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s-PE" sz="1100" b="1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𝑩</m:t>
                                </m:r>
                                <m:r>
                                  <a:rPr lang="es-PE" sz="1100" b="1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𝒃</m:t>
                                </m:r>
                              </m:e>
                            </m:d>
                          </m:num>
                          <m:den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den>
                        </m:f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</m: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𝟏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A693772-CE21-4878-91C2-DB875BC35ED6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s-PE" sz="1100" b="1" i="0">
                  <a:latin typeface="Cambria Math" panose="02040503050406030204" pitchFamily="18" charset="0"/>
                </a:rPr>
                <a:t>𝑩−𝒃)∕𝟐−𝒅)×𝟏𝒎×𝝈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252412</xdr:colOff>
      <xdr:row>37</xdr:row>
      <xdr:rowOff>157162</xdr:rowOff>
    </xdr:from>
    <xdr:ext cx="1416157" cy="206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893A81-0CC6-4801-AC36-A36498E97764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,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𝟓𝟑</m:t>
                    </m:r>
                    <m:rad>
                      <m:radPr>
                        <m:degHide m:val="on"/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𝒇</m:t>
                            </m:r>
                          </m:e>
                          <m:sub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sub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bSup>
                      </m:e>
                    </m:ra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𝒃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𝒅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893A81-0CC6-4801-AC36-A36498E97764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𝒄=𝟎,𝟓𝟑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</a:t>
              </a:r>
              <a:r>
                <a:rPr lang="es-PE" sz="1100" b="1" i="0">
                  <a:latin typeface="Cambria Math" panose="02040503050406030204" pitchFamily="18" charset="0"/>
                </a:rPr>
                <a:t>𝒇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𝒄^′ 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s-PE" sz="1100" b="1" i="0">
                  <a:latin typeface="Cambria Math" panose="02040503050406030204" pitchFamily="18" charset="0"/>
                </a:rPr>
                <a:t>×𝒃×𝒅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223837</xdr:colOff>
      <xdr:row>48</xdr:row>
      <xdr:rowOff>4762</xdr:rowOff>
    </xdr:from>
    <xdr:ext cx="1051313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3280401C-5E9E-4265-B9F0-E57E969501B6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type m:val="lin"/>
                        <m:ctrlPr>
                          <a:rPr lang="es-PE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𝑳</m:t>
                            </m:r>
                          </m:e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𝟐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3280401C-5E9E-4265-B9F0-E57E969501B6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𝑴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𝒖×𝑳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𝟐∕𝟐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5</xdr:col>
      <xdr:colOff>119062</xdr:colOff>
      <xdr:row>54</xdr:row>
      <xdr:rowOff>4762</xdr:rowOff>
    </xdr:from>
    <xdr:ext cx="95833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FA06EED-42DD-411C-89B6-5F9B89B87028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𝒔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𝑴𝒖</m:t>
                        </m:r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𝟑𝟒𝟎𝟐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FA06EED-42DD-411C-89B6-5F9B89B87028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𝑨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𝒔=𝑴𝒖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/(</a:t>
              </a:r>
              <a:r>
                <a:rPr lang="es-PE" sz="1100" b="1" i="0">
                  <a:latin typeface="Cambria Math" panose="02040503050406030204" pitchFamily="18" charset="0"/>
                </a:rPr>
                <a:t>𝟑𝟒𝟎𝟐×𝒅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twoCellAnchor>
    <xdr:from>
      <xdr:col>0</xdr:col>
      <xdr:colOff>601266</xdr:colOff>
      <xdr:row>87</xdr:row>
      <xdr:rowOff>9525</xdr:rowOff>
    </xdr:from>
    <xdr:to>
      <xdr:col>4</xdr:col>
      <xdr:colOff>154782</xdr:colOff>
      <xdr:row>92</xdr:row>
      <xdr:rowOff>160734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1FC0EDAC-5A82-414D-A1D0-0A0D8BABCD83}"/>
            </a:ext>
          </a:extLst>
        </xdr:cNvPr>
        <xdr:cNvGrpSpPr/>
      </xdr:nvGrpSpPr>
      <xdr:grpSpPr>
        <a:xfrm>
          <a:off x="601266" y="17764125"/>
          <a:ext cx="2182416" cy="1103709"/>
          <a:chOff x="601266" y="16773525"/>
          <a:chExt cx="1982391" cy="1103709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24CE06-DC62-4FAD-8969-44F0733F1E0F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A879FA7B-9B85-4462-B103-3611C6DDFE54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11C01D7F-0AC9-4399-AB4D-38D619B0F6AF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DCCD19F8-C0FA-495F-A204-BFAE93F09D7E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FAA3E195-5E11-4437-A309-733FE2713F41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2" name="Elipse 21">
              <a:extLst>
                <a:ext uri="{FF2B5EF4-FFF2-40B4-BE49-F238E27FC236}">
                  <a16:creationId xmlns:a16="http://schemas.microsoft.com/office/drawing/2014/main" id="{92ED4344-FCF7-4A58-AB3D-6D76D559D6A8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3" name="Elipse 22">
              <a:extLst>
                <a:ext uri="{FF2B5EF4-FFF2-40B4-BE49-F238E27FC236}">
                  <a16:creationId xmlns:a16="http://schemas.microsoft.com/office/drawing/2014/main" id="{FE28F4F9-73CF-4C20-A1C1-E215029EA2CA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4" name="Elipse 23">
              <a:extLst>
                <a:ext uri="{FF2B5EF4-FFF2-40B4-BE49-F238E27FC236}">
                  <a16:creationId xmlns:a16="http://schemas.microsoft.com/office/drawing/2014/main" id="{EA2B3220-9154-45AD-B70E-C210997E29D3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5" name="Elipse 24">
              <a:extLst>
                <a:ext uri="{FF2B5EF4-FFF2-40B4-BE49-F238E27FC236}">
                  <a16:creationId xmlns:a16="http://schemas.microsoft.com/office/drawing/2014/main" id="{14162E82-9E70-49D6-A596-1141D1E0CFA0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6" name="Elipse 25">
              <a:extLst>
                <a:ext uri="{FF2B5EF4-FFF2-40B4-BE49-F238E27FC236}">
                  <a16:creationId xmlns:a16="http://schemas.microsoft.com/office/drawing/2014/main" id="{4EA21E7D-4340-4B5B-A783-C3B4AE558B44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5386B36A-644B-4139-BC25-FFADCE5ED9DB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8" name="Elipse 27">
              <a:extLst>
                <a:ext uri="{FF2B5EF4-FFF2-40B4-BE49-F238E27FC236}">
                  <a16:creationId xmlns:a16="http://schemas.microsoft.com/office/drawing/2014/main" id="{8A7F1DBC-3E8B-4CA6-99CD-09C6EBC388DA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12" name="Abrir corchete 11">
            <a:extLst>
              <a:ext uri="{FF2B5EF4-FFF2-40B4-BE49-F238E27FC236}">
                <a16:creationId xmlns:a16="http://schemas.microsoft.com/office/drawing/2014/main" id="{C94D361A-D792-4536-8D18-69B0E42D5B62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D08B08D-C24F-4EC4-B419-C886DD0FD100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18" name="Conector recto de flecha 17">
              <a:extLst>
                <a:ext uri="{FF2B5EF4-FFF2-40B4-BE49-F238E27FC236}">
                  <a16:creationId xmlns:a16="http://schemas.microsoft.com/office/drawing/2014/main" id="{903ED844-7F0D-4E6C-88B5-A229D29BEA8E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Conector recto 18">
              <a:extLst>
                <a:ext uri="{FF2B5EF4-FFF2-40B4-BE49-F238E27FC236}">
                  <a16:creationId xmlns:a16="http://schemas.microsoft.com/office/drawing/2014/main" id="{D3951793-D6AB-4B6B-8483-07926E7FBAF0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Conector recto 19">
              <a:extLst>
                <a:ext uri="{FF2B5EF4-FFF2-40B4-BE49-F238E27FC236}">
                  <a16:creationId xmlns:a16="http://schemas.microsoft.com/office/drawing/2014/main" id="{AC2632F7-FA20-493E-9380-6E9DAD22B4F2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" name="Grupo 13">
            <a:extLst>
              <a:ext uri="{FF2B5EF4-FFF2-40B4-BE49-F238E27FC236}">
                <a16:creationId xmlns:a16="http://schemas.microsoft.com/office/drawing/2014/main" id="{009EC71E-5D2D-47A7-89CA-778E6F6AC770}"/>
              </a:ext>
            </a:extLst>
          </xdr:cNvPr>
          <xdr:cNvGrpSpPr/>
        </xdr:nvGrpSpPr>
        <xdr:grpSpPr>
          <a:xfrm>
            <a:off x="2393157" y="17341453"/>
            <a:ext cx="190500" cy="381000"/>
            <a:chOff x="2428875" y="17341453"/>
            <a:chExt cx="190500" cy="381000"/>
          </a:xfrm>
        </xdr:grpSpPr>
        <xdr:cxnSp macro="">
          <xdr:nvCxnSpPr>
            <xdr:cNvPr id="15" name="Conector recto 14">
              <a:extLst>
                <a:ext uri="{FF2B5EF4-FFF2-40B4-BE49-F238E27FC236}">
                  <a16:creationId xmlns:a16="http://schemas.microsoft.com/office/drawing/2014/main" id="{E3EB66AD-EF80-41A6-B289-CCC16DC7277E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id="{2B7A69B7-FE0D-48D6-AF76-48E518EDE5EB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de flecha 16">
              <a:extLst>
                <a:ext uri="{FF2B5EF4-FFF2-40B4-BE49-F238E27FC236}">
                  <a16:creationId xmlns:a16="http://schemas.microsoft.com/office/drawing/2014/main" id="{EC7D49CE-B50E-48C6-96D3-64B4CDF7079D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8986</xdr:colOff>
      <xdr:row>97</xdr:row>
      <xdr:rowOff>8986</xdr:rowOff>
    </xdr:from>
    <xdr:to>
      <xdr:col>4</xdr:col>
      <xdr:colOff>17972</xdr:colOff>
      <xdr:row>106</xdr:row>
      <xdr:rowOff>17972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F5DC673B-0CF3-4BA2-9661-21A5172F450C}"/>
            </a:ext>
          </a:extLst>
        </xdr:cNvPr>
        <xdr:cNvSpPr/>
      </xdr:nvSpPr>
      <xdr:spPr>
        <a:xfrm>
          <a:off x="618586" y="18677986"/>
          <a:ext cx="1837786" cy="172348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206674</xdr:colOff>
      <xdr:row>97</xdr:row>
      <xdr:rowOff>26958</xdr:rowOff>
    </xdr:from>
    <xdr:to>
      <xdr:col>3</xdr:col>
      <xdr:colOff>458279</xdr:colOff>
      <xdr:row>106</xdr:row>
      <xdr:rowOff>17972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7EE13F6A-112C-4C9E-A97C-FE18AF8C719D}"/>
            </a:ext>
          </a:extLst>
        </xdr:cNvPr>
        <xdr:cNvGrpSpPr/>
      </xdr:nvGrpSpPr>
      <xdr:grpSpPr>
        <a:xfrm>
          <a:off x="863899" y="19686558"/>
          <a:ext cx="1566055" cy="1705514"/>
          <a:chOff x="817712" y="18519835"/>
          <a:chExt cx="1473680" cy="1689340"/>
        </a:xfrm>
      </xdr:grpSpPr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96169CD9-1B49-4345-B39A-B91BAB9B2065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D0050456-EDF5-49E2-83E0-32F63FEFA80C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68A387BD-887A-4E27-AC3F-DE267B340561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 recto 33">
            <a:extLst>
              <a:ext uri="{FF2B5EF4-FFF2-40B4-BE49-F238E27FC236}">
                <a16:creationId xmlns:a16="http://schemas.microsoft.com/office/drawing/2014/main" id="{6F5E60E4-21B7-418B-957E-D1585FBABD1D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ector recto 34">
            <a:extLst>
              <a:ext uri="{FF2B5EF4-FFF2-40B4-BE49-F238E27FC236}">
                <a16:creationId xmlns:a16="http://schemas.microsoft.com/office/drawing/2014/main" id="{A824EA9A-7668-4EB9-A64E-43B003A85714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Conector recto 35">
            <a:extLst>
              <a:ext uri="{FF2B5EF4-FFF2-40B4-BE49-F238E27FC236}">
                <a16:creationId xmlns:a16="http://schemas.microsoft.com/office/drawing/2014/main" id="{94F3E03E-47FC-46C0-B42B-0222D989B7B6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ector recto 36">
            <a:extLst>
              <a:ext uri="{FF2B5EF4-FFF2-40B4-BE49-F238E27FC236}">
                <a16:creationId xmlns:a16="http://schemas.microsoft.com/office/drawing/2014/main" id="{7481FD05-F10A-4E95-AA9B-8B38AF6015DB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ector recto 37">
            <a:extLst>
              <a:ext uri="{FF2B5EF4-FFF2-40B4-BE49-F238E27FC236}">
                <a16:creationId xmlns:a16="http://schemas.microsoft.com/office/drawing/2014/main" id="{E57E3FA2-02C4-48D8-A444-1A90A631C504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80872</xdr:colOff>
      <xdr:row>97</xdr:row>
      <xdr:rowOff>125802</xdr:rowOff>
    </xdr:from>
    <xdr:to>
      <xdr:col>3</xdr:col>
      <xdr:colOff>548137</xdr:colOff>
      <xdr:row>105</xdr:row>
      <xdr:rowOff>89859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F89B5AC2-0EAF-430C-B9D1-F0D5851A19F7}"/>
            </a:ext>
          </a:extLst>
        </xdr:cNvPr>
        <xdr:cNvGrpSpPr/>
      </xdr:nvGrpSpPr>
      <xdr:grpSpPr>
        <a:xfrm rot="5400000">
          <a:off x="884926" y="19638573"/>
          <a:ext cx="1488057" cy="1781715"/>
          <a:chOff x="817712" y="18519835"/>
          <a:chExt cx="1473680" cy="1689340"/>
        </a:xfrm>
      </xdr:grpSpPr>
      <xdr:cxnSp macro="">
        <xdr:nvCxnSpPr>
          <xdr:cNvPr id="40" name="Conector recto 39">
            <a:extLst>
              <a:ext uri="{FF2B5EF4-FFF2-40B4-BE49-F238E27FC236}">
                <a16:creationId xmlns:a16="http://schemas.microsoft.com/office/drawing/2014/main" id="{D23C40E5-6354-44A1-BAF3-3C8BAC6B99BF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 recto 40">
            <a:extLst>
              <a:ext uri="{FF2B5EF4-FFF2-40B4-BE49-F238E27FC236}">
                <a16:creationId xmlns:a16="http://schemas.microsoft.com/office/drawing/2014/main" id="{95ED59E3-AA34-40CF-9055-F46F2E34BA7E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Conector recto 41">
            <a:extLst>
              <a:ext uri="{FF2B5EF4-FFF2-40B4-BE49-F238E27FC236}">
                <a16:creationId xmlns:a16="http://schemas.microsoft.com/office/drawing/2014/main" id="{F8E4E167-D9E2-43E1-AA33-6D3B203F7183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ector recto 42">
            <a:extLst>
              <a:ext uri="{FF2B5EF4-FFF2-40B4-BE49-F238E27FC236}">
                <a16:creationId xmlns:a16="http://schemas.microsoft.com/office/drawing/2014/main" id="{91F6AADA-671E-4A50-BB07-703C85E199D4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Conector recto 43">
            <a:extLst>
              <a:ext uri="{FF2B5EF4-FFF2-40B4-BE49-F238E27FC236}">
                <a16:creationId xmlns:a16="http://schemas.microsoft.com/office/drawing/2014/main" id="{2D3E356C-7FA1-4EAA-9CEA-72E46EC6E66D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ector recto 44">
            <a:extLst>
              <a:ext uri="{FF2B5EF4-FFF2-40B4-BE49-F238E27FC236}">
                <a16:creationId xmlns:a16="http://schemas.microsoft.com/office/drawing/2014/main" id="{5907D37B-F7DA-44A9-9BEE-0093687D1ED6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Conector recto 45">
            <a:extLst>
              <a:ext uri="{FF2B5EF4-FFF2-40B4-BE49-F238E27FC236}">
                <a16:creationId xmlns:a16="http://schemas.microsoft.com/office/drawing/2014/main" id="{5C0701B6-343C-408E-B2EB-BA06ED99D069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Conector recto 46">
            <a:extLst>
              <a:ext uri="{FF2B5EF4-FFF2-40B4-BE49-F238E27FC236}">
                <a16:creationId xmlns:a16="http://schemas.microsoft.com/office/drawing/2014/main" id="{96921DF1-60CB-4DA6-8B22-A84E04F9FE2E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278562</xdr:colOff>
      <xdr:row>98</xdr:row>
      <xdr:rowOff>8986</xdr:rowOff>
    </xdr:from>
    <xdr:to>
      <xdr:col>7</xdr:col>
      <xdr:colOff>0</xdr:colOff>
      <xdr:row>99</xdr:row>
      <xdr:rowOff>98844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693BA995-64EC-4252-9ABB-82264ED96E42}"/>
            </a:ext>
          </a:extLst>
        </xdr:cNvPr>
        <xdr:cNvGrpSpPr/>
      </xdr:nvGrpSpPr>
      <xdr:grpSpPr>
        <a:xfrm>
          <a:off x="2250237" y="19859086"/>
          <a:ext cx="2350338" cy="280358"/>
          <a:chOff x="2111675" y="18690566"/>
          <a:chExt cx="2165589" cy="278561"/>
        </a:xfrm>
      </xdr:grpSpPr>
      <xdr:cxnSp macro="">
        <xdr:nvCxnSpPr>
          <xdr:cNvPr id="49" name="Conector recto de flecha 48">
            <a:extLst>
              <a:ext uri="{FF2B5EF4-FFF2-40B4-BE49-F238E27FC236}">
                <a16:creationId xmlns:a16="http://schemas.microsoft.com/office/drawing/2014/main" id="{B61F3EE6-4218-4DEB-866C-4BF9ACDE30DA}"/>
              </a:ext>
            </a:extLst>
          </xdr:cNvPr>
          <xdr:cNvCxnSpPr/>
        </xdr:nvCxnSpPr>
        <xdr:spPr>
          <a:xfrm flipH="1">
            <a:off x="2111675" y="18690566"/>
            <a:ext cx="956394" cy="27856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Conector recto 49">
            <a:extLst>
              <a:ext uri="{FF2B5EF4-FFF2-40B4-BE49-F238E27FC236}">
                <a16:creationId xmlns:a16="http://schemas.microsoft.com/office/drawing/2014/main" id="{D22C39D0-4DEB-4FCD-9668-40527175DF5E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557124</xdr:colOff>
      <xdr:row>102</xdr:row>
      <xdr:rowOff>8986</xdr:rowOff>
    </xdr:from>
    <xdr:to>
      <xdr:col>7</xdr:col>
      <xdr:colOff>1</xdr:colOff>
      <xdr:row>103</xdr:row>
      <xdr:rowOff>44930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B1CE37AE-A2C0-44E3-BF23-48E19A83561E}"/>
            </a:ext>
          </a:extLst>
        </xdr:cNvPr>
        <xdr:cNvGrpSpPr/>
      </xdr:nvGrpSpPr>
      <xdr:grpSpPr>
        <a:xfrm>
          <a:off x="2528799" y="20621086"/>
          <a:ext cx="2071777" cy="226444"/>
          <a:chOff x="2121939" y="18690566"/>
          <a:chExt cx="2155325" cy="224646"/>
        </a:xfrm>
      </xdr:grpSpPr>
      <xdr:cxnSp macro="">
        <xdr:nvCxnSpPr>
          <xdr:cNvPr id="52" name="Conector recto de flecha 51">
            <a:extLst>
              <a:ext uri="{FF2B5EF4-FFF2-40B4-BE49-F238E27FC236}">
                <a16:creationId xmlns:a16="http://schemas.microsoft.com/office/drawing/2014/main" id="{F260C9AE-A67F-4601-93EA-C4679AA399B0}"/>
              </a:ext>
            </a:extLst>
          </xdr:cNvPr>
          <xdr:cNvCxnSpPr/>
        </xdr:nvCxnSpPr>
        <xdr:spPr>
          <a:xfrm flipH="1">
            <a:off x="2121939" y="18690566"/>
            <a:ext cx="946132" cy="224646"/>
          </a:xfrm>
          <a:prstGeom prst="straightConnector1">
            <a:avLst/>
          </a:prstGeom>
          <a:ln>
            <a:solidFill>
              <a:schemeClr val="accent1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Conector recto 52">
            <a:extLst>
              <a:ext uri="{FF2B5EF4-FFF2-40B4-BE49-F238E27FC236}">
                <a16:creationId xmlns:a16="http://schemas.microsoft.com/office/drawing/2014/main" id="{2DAC3F58-BCF2-472C-A7EB-D29EF2AAA1D1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chemeClr val="accent1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107830</xdr:colOff>
      <xdr:row>97</xdr:row>
      <xdr:rowOff>8986</xdr:rowOff>
    </xdr:from>
    <xdr:to>
      <xdr:col>4</xdr:col>
      <xdr:colOff>539151</xdr:colOff>
      <xdr:row>105</xdr:row>
      <xdr:rowOff>179717</xdr:rowOff>
    </xdr:to>
    <xdr:sp macro="" textlink="">
      <xdr:nvSpPr>
        <xdr:cNvPr id="54" name="Cerrar llave 53">
          <a:extLst>
            <a:ext uri="{FF2B5EF4-FFF2-40B4-BE49-F238E27FC236}">
              <a16:creationId xmlns:a16="http://schemas.microsoft.com/office/drawing/2014/main" id="{19693CB1-506C-4B37-B71D-A1FF596974A5}"/>
            </a:ext>
          </a:extLst>
        </xdr:cNvPr>
        <xdr:cNvSpPr/>
      </xdr:nvSpPr>
      <xdr:spPr>
        <a:xfrm>
          <a:off x="2546230" y="18677986"/>
          <a:ext cx="431321" cy="1694731"/>
        </a:xfrm>
        <a:prstGeom prst="rightBrace">
          <a:avLst>
            <a:gd name="adj1" fmla="val 8333"/>
            <a:gd name="adj2" fmla="val 8155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13479</xdr:colOff>
      <xdr:row>106</xdr:row>
      <xdr:rowOff>107834</xdr:rowOff>
    </xdr:from>
    <xdr:to>
      <xdr:col>4</xdr:col>
      <xdr:colOff>8986</xdr:colOff>
      <xdr:row>107</xdr:row>
      <xdr:rowOff>130298</xdr:rowOff>
    </xdr:to>
    <xdr:sp macro="" textlink="">
      <xdr:nvSpPr>
        <xdr:cNvPr id="55" name="Cerrar llave 54">
          <a:extLst>
            <a:ext uri="{FF2B5EF4-FFF2-40B4-BE49-F238E27FC236}">
              <a16:creationId xmlns:a16="http://schemas.microsoft.com/office/drawing/2014/main" id="{1BCD878C-B2E9-40FD-A398-35326DE3A7F0}"/>
            </a:ext>
          </a:extLst>
        </xdr:cNvPr>
        <xdr:cNvSpPr/>
      </xdr:nvSpPr>
      <xdr:spPr>
        <a:xfrm rot="5400000">
          <a:off x="1428751" y="19685662"/>
          <a:ext cx="212964" cy="1824307"/>
        </a:xfrm>
        <a:prstGeom prst="rightBrace">
          <a:avLst>
            <a:gd name="adj1" fmla="val 8333"/>
            <a:gd name="adj2" fmla="val 5010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601266</xdr:colOff>
      <xdr:row>4</xdr:row>
      <xdr:rowOff>3</xdr:rowOff>
    </xdr:from>
    <xdr:to>
      <xdr:col>8</xdr:col>
      <xdr:colOff>520113</xdr:colOff>
      <xdr:row>9</xdr:row>
      <xdr:rowOff>160737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7E13DCAA-658A-4EA3-A92E-EEBA5B17DCC8}"/>
            </a:ext>
          </a:extLst>
        </xdr:cNvPr>
        <xdr:cNvGrpSpPr/>
      </xdr:nvGrpSpPr>
      <xdr:grpSpPr>
        <a:xfrm>
          <a:off x="3230166" y="762003"/>
          <a:ext cx="2547747" cy="1113234"/>
          <a:chOff x="601266" y="16763922"/>
          <a:chExt cx="2344928" cy="1113312"/>
        </a:xfrm>
      </xdr:grpSpPr>
      <xdr:sp macro="" textlink="">
        <xdr:nvSpPr>
          <xdr:cNvPr id="57" name="Rectángulo 56">
            <a:extLst>
              <a:ext uri="{FF2B5EF4-FFF2-40B4-BE49-F238E27FC236}">
                <a16:creationId xmlns:a16="http://schemas.microsoft.com/office/drawing/2014/main" id="{09AA6209-E398-440F-AF36-2DE944E759B8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7EFDC7CC-60C2-473D-B518-8C9F054D0FC2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66006F64-FD5C-49BD-9BA7-395F693B896E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BAC6766-A8A1-4D91-AF0A-9D5F0E834F1A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71" name="Elipse 70">
              <a:extLst>
                <a:ext uri="{FF2B5EF4-FFF2-40B4-BE49-F238E27FC236}">
                  <a16:creationId xmlns:a16="http://schemas.microsoft.com/office/drawing/2014/main" id="{EF9FF3AD-0CA3-4F04-9C96-2338ED66E9F5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2" name="Elipse 71">
              <a:extLst>
                <a:ext uri="{FF2B5EF4-FFF2-40B4-BE49-F238E27FC236}">
                  <a16:creationId xmlns:a16="http://schemas.microsoft.com/office/drawing/2014/main" id="{F7FA1EC5-F4E8-4940-A12E-18291B7AE80F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3" name="Elipse 72">
              <a:extLst>
                <a:ext uri="{FF2B5EF4-FFF2-40B4-BE49-F238E27FC236}">
                  <a16:creationId xmlns:a16="http://schemas.microsoft.com/office/drawing/2014/main" id="{53E1D9CB-8410-4C8F-8ACD-85DC0AC93B8B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4" name="Elipse 73">
              <a:extLst>
                <a:ext uri="{FF2B5EF4-FFF2-40B4-BE49-F238E27FC236}">
                  <a16:creationId xmlns:a16="http://schemas.microsoft.com/office/drawing/2014/main" id="{A884FC27-E6A3-4D41-B45D-ED5B689E00CA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5" name="Elipse 74">
              <a:extLst>
                <a:ext uri="{FF2B5EF4-FFF2-40B4-BE49-F238E27FC236}">
                  <a16:creationId xmlns:a16="http://schemas.microsoft.com/office/drawing/2014/main" id="{ACDCD71F-97AF-4AB4-B982-15CB14F9B247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6" name="Elipse 75">
              <a:extLst>
                <a:ext uri="{FF2B5EF4-FFF2-40B4-BE49-F238E27FC236}">
                  <a16:creationId xmlns:a16="http://schemas.microsoft.com/office/drawing/2014/main" id="{C4C85F28-CF04-45CD-8B84-4CE4CB16E3C1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7" name="Elipse 76">
              <a:extLst>
                <a:ext uri="{FF2B5EF4-FFF2-40B4-BE49-F238E27FC236}">
                  <a16:creationId xmlns:a16="http://schemas.microsoft.com/office/drawing/2014/main" id="{D322DAA9-515A-43CF-801E-D87F3FE7F98E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8" name="Elipse 77">
              <a:extLst>
                <a:ext uri="{FF2B5EF4-FFF2-40B4-BE49-F238E27FC236}">
                  <a16:creationId xmlns:a16="http://schemas.microsoft.com/office/drawing/2014/main" id="{28FBC9A7-E9A7-459A-AB46-5E973349B1E7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Abrir corchete 60">
            <a:extLst>
              <a:ext uri="{FF2B5EF4-FFF2-40B4-BE49-F238E27FC236}">
                <a16:creationId xmlns:a16="http://schemas.microsoft.com/office/drawing/2014/main" id="{43E73A39-A34E-413E-9A0A-294F356F94F2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62" name="Grupo 61">
            <a:extLst>
              <a:ext uri="{FF2B5EF4-FFF2-40B4-BE49-F238E27FC236}">
                <a16:creationId xmlns:a16="http://schemas.microsoft.com/office/drawing/2014/main" id="{ADEBF240-5B5B-44A0-B21B-9B94F055D5DB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68" name="Conector recto de flecha 67">
              <a:extLst>
                <a:ext uri="{FF2B5EF4-FFF2-40B4-BE49-F238E27FC236}">
                  <a16:creationId xmlns:a16="http://schemas.microsoft.com/office/drawing/2014/main" id="{0DABADFD-485C-4856-A048-A05BB164FA36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9" name="Conector recto 68">
              <a:extLst>
                <a:ext uri="{FF2B5EF4-FFF2-40B4-BE49-F238E27FC236}">
                  <a16:creationId xmlns:a16="http://schemas.microsoft.com/office/drawing/2014/main" id="{D18FCA98-19EC-4CF6-9063-1414FCE02681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Conector recto 69">
              <a:extLst>
                <a:ext uri="{FF2B5EF4-FFF2-40B4-BE49-F238E27FC236}">
                  <a16:creationId xmlns:a16="http://schemas.microsoft.com/office/drawing/2014/main" id="{1D790067-6BE4-4CF6-924F-7050E6C72CC4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3" name="Grupo 62">
            <a:extLst>
              <a:ext uri="{FF2B5EF4-FFF2-40B4-BE49-F238E27FC236}">
                <a16:creationId xmlns:a16="http://schemas.microsoft.com/office/drawing/2014/main" id="{949AF31F-088A-4610-82ED-1318D9BDDE18}"/>
              </a:ext>
            </a:extLst>
          </xdr:cNvPr>
          <xdr:cNvGrpSpPr/>
        </xdr:nvGrpSpPr>
        <xdr:grpSpPr>
          <a:xfrm>
            <a:off x="2393157" y="16763922"/>
            <a:ext cx="553037" cy="958531"/>
            <a:chOff x="2428875" y="16763922"/>
            <a:chExt cx="553037" cy="958531"/>
          </a:xfrm>
        </xdr:grpSpPr>
        <xdr:cxnSp macro="">
          <xdr:nvCxnSpPr>
            <xdr:cNvPr id="64" name="Conector recto 63">
              <a:extLst>
                <a:ext uri="{FF2B5EF4-FFF2-40B4-BE49-F238E27FC236}">
                  <a16:creationId xmlns:a16="http://schemas.microsoft.com/office/drawing/2014/main" id="{D56FC311-90BF-4883-907E-5F906195624A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ector recto 64">
              <a:extLst>
                <a:ext uri="{FF2B5EF4-FFF2-40B4-BE49-F238E27FC236}">
                  <a16:creationId xmlns:a16="http://schemas.microsoft.com/office/drawing/2014/main" id="{7FE7CF1B-2CD3-4B08-82AE-B74DAF1B6907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Conector recto de flecha 65">
              <a:extLst>
                <a:ext uri="{FF2B5EF4-FFF2-40B4-BE49-F238E27FC236}">
                  <a16:creationId xmlns:a16="http://schemas.microsoft.com/office/drawing/2014/main" id="{A93A618A-582C-4DC0-B20C-118FF824103B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Conector recto de flecha 66">
              <a:extLst>
                <a:ext uri="{FF2B5EF4-FFF2-40B4-BE49-F238E27FC236}">
                  <a16:creationId xmlns:a16="http://schemas.microsoft.com/office/drawing/2014/main" id="{244340E1-B07C-4281-922B-DEE575E84668}"/>
                </a:ext>
              </a:extLst>
            </xdr:cNvPr>
            <xdr:cNvCxnSpPr/>
          </xdr:nvCxnSpPr>
          <xdr:spPr>
            <a:xfrm>
              <a:off x="2981912" y="16763922"/>
              <a:ext cx="0" cy="958531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328612</xdr:colOff>
      <xdr:row>25</xdr:row>
      <xdr:rowOff>14287</xdr:rowOff>
    </xdr:from>
    <xdr:ext cx="18156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17F044B-FEFB-41C3-BA5F-224CF0DB59EF}"/>
                </a:ext>
              </a:extLst>
            </xdr:cNvPr>
            <xdr:cNvSpPr txBox="1"/>
          </xdr:nvSpPr>
          <xdr:spPr>
            <a:xfrm>
              <a:off x="2767012" y="47767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𝒏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𝒒𝒂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𝒎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𝑯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𝒉𝒛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17F044B-FEFB-41C3-BA5F-224CF0DB59EF}"/>
                </a:ext>
              </a:extLst>
            </xdr:cNvPr>
            <xdr:cNvSpPr txBox="1"/>
          </xdr:nvSpPr>
          <xdr:spPr>
            <a:xfrm>
              <a:off x="2767012" y="47767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𝒏=𝒒𝒂−𝜸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𝒎×𝑯−𝜸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𝒄×𝒉𝒛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290512</xdr:colOff>
      <xdr:row>34</xdr:row>
      <xdr:rowOff>14287</xdr:rowOff>
    </xdr:from>
    <xdr:ext cx="20942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A57D357-4B9D-4A95-BCB6-D333CE3F6668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s-PE" sz="11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s-PE" sz="1100" b="1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𝑩</m:t>
                                </m:r>
                                <m:r>
                                  <a:rPr lang="es-PE" sz="1100" b="1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𝒃</m:t>
                                </m:r>
                              </m:e>
                            </m:d>
                          </m:num>
                          <m:den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den>
                        </m:f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</m: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𝟏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A57D357-4B9D-4A95-BCB6-D333CE3F6668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s-PE" sz="1100" b="1" i="0">
                  <a:latin typeface="Cambria Math" panose="02040503050406030204" pitchFamily="18" charset="0"/>
                </a:rPr>
                <a:t>𝑩−𝒃)∕𝟐−𝒅)×𝟏𝒎×𝝈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252412</xdr:colOff>
      <xdr:row>37</xdr:row>
      <xdr:rowOff>157162</xdr:rowOff>
    </xdr:from>
    <xdr:ext cx="1416157" cy="206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DD15DF6-8598-489F-BC51-FF0C16C9E8CE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,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𝟓𝟑</m:t>
                    </m:r>
                    <m:rad>
                      <m:radPr>
                        <m:degHide m:val="on"/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𝒇</m:t>
                            </m:r>
                          </m:e>
                          <m:sub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sub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bSup>
                      </m:e>
                    </m:ra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𝒃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𝒅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DD15DF6-8598-489F-BC51-FF0C16C9E8CE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𝒄=𝟎,𝟓𝟑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</a:t>
              </a:r>
              <a:r>
                <a:rPr lang="es-PE" sz="1100" b="1" i="0">
                  <a:latin typeface="Cambria Math" panose="02040503050406030204" pitchFamily="18" charset="0"/>
                </a:rPr>
                <a:t>𝒇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𝒄^′ 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s-PE" sz="1100" b="1" i="0">
                  <a:latin typeface="Cambria Math" panose="02040503050406030204" pitchFamily="18" charset="0"/>
                </a:rPr>
                <a:t>×𝒃×𝒅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1</xdr:col>
      <xdr:colOff>223837</xdr:colOff>
      <xdr:row>48</xdr:row>
      <xdr:rowOff>4762</xdr:rowOff>
    </xdr:from>
    <xdr:ext cx="1051313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BEC3028-B5CF-436D-80D1-84E88AAA9665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type m:val="lin"/>
                        <m:ctrlPr>
                          <a:rPr lang="es-PE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𝑳</m:t>
                            </m:r>
                          </m:e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𝟐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BEC3028-B5CF-436D-80D1-84E88AAA9665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𝑴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𝒖×𝑳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𝟐∕𝟐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5</xdr:col>
      <xdr:colOff>119062</xdr:colOff>
      <xdr:row>54</xdr:row>
      <xdr:rowOff>4762</xdr:rowOff>
    </xdr:from>
    <xdr:ext cx="95833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A1C7D32-D57E-4FF5-AAAF-479BB0F28A0C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𝒔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𝑴𝒖</m:t>
                        </m:r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𝟑𝟒𝟎𝟐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A1C7D32-D57E-4FF5-AAAF-479BB0F28A0C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𝑨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𝒔=𝑴𝒖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/(</a:t>
              </a:r>
              <a:r>
                <a:rPr lang="es-PE" sz="1100" b="1" i="0">
                  <a:latin typeface="Cambria Math" panose="02040503050406030204" pitchFamily="18" charset="0"/>
                </a:rPr>
                <a:t>𝟑𝟒𝟎𝟐×𝒅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twoCellAnchor>
    <xdr:from>
      <xdr:col>0</xdr:col>
      <xdr:colOff>601266</xdr:colOff>
      <xdr:row>88</xdr:row>
      <xdr:rowOff>9525</xdr:rowOff>
    </xdr:from>
    <xdr:to>
      <xdr:col>4</xdr:col>
      <xdr:colOff>154782</xdr:colOff>
      <xdr:row>93</xdr:row>
      <xdr:rowOff>160734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F9D8B7-04A8-4A7E-BBA5-EAA484992ABB}"/>
            </a:ext>
          </a:extLst>
        </xdr:cNvPr>
        <xdr:cNvGrpSpPr/>
      </xdr:nvGrpSpPr>
      <xdr:grpSpPr>
        <a:xfrm>
          <a:off x="601266" y="16615374"/>
          <a:ext cx="1997667" cy="1094723"/>
          <a:chOff x="601266" y="16773525"/>
          <a:chExt cx="1982391" cy="1103709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07B9E5D-9665-4757-90FB-18B98F1799BB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3805A20C-A849-4045-ABAF-9A2353915877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806DE73A-D69B-4F39-B689-7D01AE27A7F1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7976DBE-B0F7-43CD-93A1-D0E43F21CC0C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D8D2EEC4-BD37-433F-9371-0DB2E7E39273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2" name="Elipse 21">
              <a:extLst>
                <a:ext uri="{FF2B5EF4-FFF2-40B4-BE49-F238E27FC236}">
                  <a16:creationId xmlns:a16="http://schemas.microsoft.com/office/drawing/2014/main" id="{5FD6132B-FB59-4012-AA81-CE816F900037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3" name="Elipse 22">
              <a:extLst>
                <a:ext uri="{FF2B5EF4-FFF2-40B4-BE49-F238E27FC236}">
                  <a16:creationId xmlns:a16="http://schemas.microsoft.com/office/drawing/2014/main" id="{030F5330-C2E5-4714-A441-CFF33CF8C058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4" name="Elipse 23">
              <a:extLst>
                <a:ext uri="{FF2B5EF4-FFF2-40B4-BE49-F238E27FC236}">
                  <a16:creationId xmlns:a16="http://schemas.microsoft.com/office/drawing/2014/main" id="{1AEF6729-1DF6-4136-9EA1-6697167E5CA0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5" name="Elipse 24">
              <a:extLst>
                <a:ext uri="{FF2B5EF4-FFF2-40B4-BE49-F238E27FC236}">
                  <a16:creationId xmlns:a16="http://schemas.microsoft.com/office/drawing/2014/main" id="{8C031D54-4868-4E50-A223-795C2EFD4492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6" name="Elipse 25">
              <a:extLst>
                <a:ext uri="{FF2B5EF4-FFF2-40B4-BE49-F238E27FC236}">
                  <a16:creationId xmlns:a16="http://schemas.microsoft.com/office/drawing/2014/main" id="{7CFCDBA2-50AA-4404-9EB2-ECF0088F7B51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0579643C-D67A-4494-8E8D-47FD42CD1354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8" name="Elipse 27">
              <a:extLst>
                <a:ext uri="{FF2B5EF4-FFF2-40B4-BE49-F238E27FC236}">
                  <a16:creationId xmlns:a16="http://schemas.microsoft.com/office/drawing/2014/main" id="{43C62166-2E9D-4974-9501-4CC35BF16770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12" name="Abrir corchete 11">
            <a:extLst>
              <a:ext uri="{FF2B5EF4-FFF2-40B4-BE49-F238E27FC236}">
                <a16:creationId xmlns:a16="http://schemas.microsoft.com/office/drawing/2014/main" id="{48D5079D-402A-4573-ABA4-C748FD25B851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7D43E63F-F0BC-46F4-90EC-915A06C14781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18" name="Conector recto de flecha 17">
              <a:extLst>
                <a:ext uri="{FF2B5EF4-FFF2-40B4-BE49-F238E27FC236}">
                  <a16:creationId xmlns:a16="http://schemas.microsoft.com/office/drawing/2014/main" id="{BD6765B6-0479-4D49-B8A9-7EE56CE2C2EF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Conector recto 18">
              <a:extLst>
                <a:ext uri="{FF2B5EF4-FFF2-40B4-BE49-F238E27FC236}">
                  <a16:creationId xmlns:a16="http://schemas.microsoft.com/office/drawing/2014/main" id="{90DA5100-7375-412C-88D5-9AADD6738818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Conector recto 19">
              <a:extLst>
                <a:ext uri="{FF2B5EF4-FFF2-40B4-BE49-F238E27FC236}">
                  <a16:creationId xmlns:a16="http://schemas.microsoft.com/office/drawing/2014/main" id="{716EB267-AAE0-4EB4-A0CE-6E41568F3298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" name="Grupo 13">
            <a:extLst>
              <a:ext uri="{FF2B5EF4-FFF2-40B4-BE49-F238E27FC236}">
                <a16:creationId xmlns:a16="http://schemas.microsoft.com/office/drawing/2014/main" id="{3E0F7006-2682-47E9-ACAA-BA665F9DC245}"/>
              </a:ext>
            </a:extLst>
          </xdr:cNvPr>
          <xdr:cNvGrpSpPr/>
        </xdr:nvGrpSpPr>
        <xdr:grpSpPr>
          <a:xfrm>
            <a:off x="2393157" y="17341453"/>
            <a:ext cx="190500" cy="381000"/>
            <a:chOff x="2428875" y="17341453"/>
            <a:chExt cx="190500" cy="381000"/>
          </a:xfrm>
        </xdr:grpSpPr>
        <xdr:cxnSp macro="">
          <xdr:nvCxnSpPr>
            <xdr:cNvPr id="15" name="Conector recto 14">
              <a:extLst>
                <a:ext uri="{FF2B5EF4-FFF2-40B4-BE49-F238E27FC236}">
                  <a16:creationId xmlns:a16="http://schemas.microsoft.com/office/drawing/2014/main" id="{CA246EDE-1E0C-40F5-83EF-A4AA2714CEF4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id="{FEEB022F-A1DA-4ECE-BC5C-CBF96D8B1138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de flecha 16">
              <a:extLst>
                <a:ext uri="{FF2B5EF4-FFF2-40B4-BE49-F238E27FC236}">
                  <a16:creationId xmlns:a16="http://schemas.microsoft.com/office/drawing/2014/main" id="{7118116F-BD40-4A4E-A705-32D8514630D9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8986</xdr:colOff>
      <xdr:row>98</xdr:row>
      <xdr:rowOff>8986</xdr:rowOff>
    </xdr:from>
    <xdr:to>
      <xdr:col>4</xdr:col>
      <xdr:colOff>17972</xdr:colOff>
      <xdr:row>107</xdr:row>
      <xdr:rowOff>17972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91676CAA-92BF-4BE7-90C1-4241754B52FF}"/>
            </a:ext>
          </a:extLst>
        </xdr:cNvPr>
        <xdr:cNvSpPr/>
      </xdr:nvSpPr>
      <xdr:spPr>
        <a:xfrm>
          <a:off x="618586" y="18677986"/>
          <a:ext cx="1837786" cy="172348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206674</xdr:colOff>
      <xdr:row>98</xdr:row>
      <xdr:rowOff>26958</xdr:rowOff>
    </xdr:from>
    <xdr:to>
      <xdr:col>3</xdr:col>
      <xdr:colOff>458279</xdr:colOff>
      <xdr:row>107</xdr:row>
      <xdr:rowOff>17972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4126003D-C82D-4961-84DA-DF59623DD031}"/>
            </a:ext>
          </a:extLst>
        </xdr:cNvPr>
        <xdr:cNvGrpSpPr/>
      </xdr:nvGrpSpPr>
      <xdr:grpSpPr>
        <a:xfrm>
          <a:off x="817712" y="18519835"/>
          <a:ext cx="1473680" cy="1689340"/>
          <a:chOff x="817712" y="18519835"/>
          <a:chExt cx="1473680" cy="1689340"/>
        </a:xfrm>
      </xdr:grpSpPr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F1A660CC-CE91-420A-8A9A-E41D0F99D214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3CEE4E12-7B82-4F29-A6C0-963058DB4150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3EC4414B-DBDB-41AF-95B8-A8D59A60725A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 recto 33">
            <a:extLst>
              <a:ext uri="{FF2B5EF4-FFF2-40B4-BE49-F238E27FC236}">
                <a16:creationId xmlns:a16="http://schemas.microsoft.com/office/drawing/2014/main" id="{E515FEB4-D119-4C0E-A80A-1073E8913864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ector recto 34">
            <a:extLst>
              <a:ext uri="{FF2B5EF4-FFF2-40B4-BE49-F238E27FC236}">
                <a16:creationId xmlns:a16="http://schemas.microsoft.com/office/drawing/2014/main" id="{CF7B212B-0E59-40BB-A3EE-56102D558E4D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Conector recto 35">
            <a:extLst>
              <a:ext uri="{FF2B5EF4-FFF2-40B4-BE49-F238E27FC236}">
                <a16:creationId xmlns:a16="http://schemas.microsoft.com/office/drawing/2014/main" id="{184AAC7E-8F83-41CB-886A-DAE0A197CBBB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ector recto 36">
            <a:extLst>
              <a:ext uri="{FF2B5EF4-FFF2-40B4-BE49-F238E27FC236}">
                <a16:creationId xmlns:a16="http://schemas.microsoft.com/office/drawing/2014/main" id="{8AA3AD2E-22C8-447E-8644-D792D6C2B85C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ector recto 37">
            <a:extLst>
              <a:ext uri="{FF2B5EF4-FFF2-40B4-BE49-F238E27FC236}">
                <a16:creationId xmlns:a16="http://schemas.microsoft.com/office/drawing/2014/main" id="{C86FD4C3-B581-4373-B615-28868D235025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80872</xdr:colOff>
      <xdr:row>98</xdr:row>
      <xdr:rowOff>125802</xdr:rowOff>
    </xdr:from>
    <xdr:to>
      <xdr:col>3</xdr:col>
      <xdr:colOff>548137</xdr:colOff>
      <xdr:row>106</xdr:row>
      <xdr:rowOff>89859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74EDC57D-2C24-40C3-A3B5-A2EA38D80C5F}"/>
            </a:ext>
          </a:extLst>
        </xdr:cNvPr>
        <xdr:cNvGrpSpPr/>
      </xdr:nvGrpSpPr>
      <xdr:grpSpPr>
        <a:xfrm rot="5400000">
          <a:off x="799740" y="18510849"/>
          <a:ext cx="1473680" cy="1689340"/>
          <a:chOff x="817712" y="18519835"/>
          <a:chExt cx="1473680" cy="1689340"/>
        </a:xfrm>
      </xdr:grpSpPr>
      <xdr:cxnSp macro="">
        <xdr:nvCxnSpPr>
          <xdr:cNvPr id="40" name="Conector recto 39">
            <a:extLst>
              <a:ext uri="{FF2B5EF4-FFF2-40B4-BE49-F238E27FC236}">
                <a16:creationId xmlns:a16="http://schemas.microsoft.com/office/drawing/2014/main" id="{AAED8267-69B7-4599-9290-0270AE375155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 recto 40">
            <a:extLst>
              <a:ext uri="{FF2B5EF4-FFF2-40B4-BE49-F238E27FC236}">
                <a16:creationId xmlns:a16="http://schemas.microsoft.com/office/drawing/2014/main" id="{F0CA1C1C-04C2-43F1-B4C5-318BEB1591BE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Conector recto 41">
            <a:extLst>
              <a:ext uri="{FF2B5EF4-FFF2-40B4-BE49-F238E27FC236}">
                <a16:creationId xmlns:a16="http://schemas.microsoft.com/office/drawing/2014/main" id="{656E56AE-2185-4D94-B9D7-63E035ADDD08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ector recto 42">
            <a:extLst>
              <a:ext uri="{FF2B5EF4-FFF2-40B4-BE49-F238E27FC236}">
                <a16:creationId xmlns:a16="http://schemas.microsoft.com/office/drawing/2014/main" id="{6795D525-0EAB-435E-AEFB-0421301E7271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Conector recto 43">
            <a:extLst>
              <a:ext uri="{FF2B5EF4-FFF2-40B4-BE49-F238E27FC236}">
                <a16:creationId xmlns:a16="http://schemas.microsoft.com/office/drawing/2014/main" id="{254B756C-6C09-4CDF-BBD5-F37841022088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ector recto 44">
            <a:extLst>
              <a:ext uri="{FF2B5EF4-FFF2-40B4-BE49-F238E27FC236}">
                <a16:creationId xmlns:a16="http://schemas.microsoft.com/office/drawing/2014/main" id="{68BF4EEE-E122-497F-AF91-03A119ECA54E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Conector recto 45">
            <a:extLst>
              <a:ext uri="{FF2B5EF4-FFF2-40B4-BE49-F238E27FC236}">
                <a16:creationId xmlns:a16="http://schemas.microsoft.com/office/drawing/2014/main" id="{0EB7339D-4706-4EBF-A756-644AB33312A9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Conector recto 46">
            <a:extLst>
              <a:ext uri="{FF2B5EF4-FFF2-40B4-BE49-F238E27FC236}">
                <a16:creationId xmlns:a16="http://schemas.microsoft.com/office/drawing/2014/main" id="{843BBEC0-419F-4741-A042-3D342AACEC0C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278562</xdr:colOff>
      <xdr:row>99</xdr:row>
      <xdr:rowOff>8986</xdr:rowOff>
    </xdr:from>
    <xdr:to>
      <xdr:col>7</xdr:col>
      <xdr:colOff>0</xdr:colOff>
      <xdr:row>100</xdr:row>
      <xdr:rowOff>98844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ADEC9886-FDEE-477B-A813-02DEBDA9AADD}"/>
            </a:ext>
          </a:extLst>
        </xdr:cNvPr>
        <xdr:cNvGrpSpPr/>
      </xdr:nvGrpSpPr>
      <xdr:grpSpPr>
        <a:xfrm>
          <a:off x="2111675" y="18690566"/>
          <a:ext cx="2165589" cy="278561"/>
          <a:chOff x="2111675" y="18690566"/>
          <a:chExt cx="2165589" cy="278561"/>
        </a:xfrm>
      </xdr:grpSpPr>
      <xdr:cxnSp macro="">
        <xdr:nvCxnSpPr>
          <xdr:cNvPr id="49" name="Conector recto de flecha 48">
            <a:extLst>
              <a:ext uri="{FF2B5EF4-FFF2-40B4-BE49-F238E27FC236}">
                <a16:creationId xmlns:a16="http://schemas.microsoft.com/office/drawing/2014/main" id="{C3F964FC-9081-4C31-A5E8-7843D56D2E40}"/>
              </a:ext>
            </a:extLst>
          </xdr:cNvPr>
          <xdr:cNvCxnSpPr/>
        </xdr:nvCxnSpPr>
        <xdr:spPr>
          <a:xfrm flipH="1">
            <a:off x="2111675" y="18690566"/>
            <a:ext cx="956394" cy="27856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Conector recto 49">
            <a:extLst>
              <a:ext uri="{FF2B5EF4-FFF2-40B4-BE49-F238E27FC236}">
                <a16:creationId xmlns:a16="http://schemas.microsoft.com/office/drawing/2014/main" id="{A048F49C-F7F8-4EA5-BB69-12567F8B9F0F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557124</xdr:colOff>
      <xdr:row>103</xdr:row>
      <xdr:rowOff>8986</xdr:rowOff>
    </xdr:from>
    <xdr:to>
      <xdr:col>7</xdr:col>
      <xdr:colOff>1</xdr:colOff>
      <xdr:row>104</xdr:row>
      <xdr:rowOff>44930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79E61359-A82C-448E-B0F9-99824C433BB2}"/>
            </a:ext>
          </a:extLst>
        </xdr:cNvPr>
        <xdr:cNvGrpSpPr/>
      </xdr:nvGrpSpPr>
      <xdr:grpSpPr>
        <a:xfrm>
          <a:off x="2390237" y="19445378"/>
          <a:ext cx="1887028" cy="224646"/>
          <a:chOff x="2121939" y="18690566"/>
          <a:chExt cx="2155325" cy="224646"/>
        </a:xfrm>
      </xdr:grpSpPr>
      <xdr:cxnSp macro="">
        <xdr:nvCxnSpPr>
          <xdr:cNvPr id="52" name="Conector recto de flecha 51">
            <a:extLst>
              <a:ext uri="{FF2B5EF4-FFF2-40B4-BE49-F238E27FC236}">
                <a16:creationId xmlns:a16="http://schemas.microsoft.com/office/drawing/2014/main" id="{A52EC0DC-81FA-4025-9F86-B50C2A33FFD1}"/>
              </a:ext>
            </a:extLst>
          </xdr:cNvPr>
          <xdr:cNvCxnSpPr/>
        </xdr:nvCxnSpPr>
        <xdr:spPr>
          <a:xfrm flipH="1">
            <a:off x="2121939" y="18690566"/>
            <a:ext cx="946132" cy="224646"/>
          </a:xfrm>
          <a:prstGeom prst="straightConnector1">
            <a:avLst/>
          </a:prstGeom>
          <a:ln>
            <a:solidFill>
              <a:schemeClr val="accent1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Conector recto 52">
            <a:extLst>
              <a:ext uri="{FF2B5EF4-FFF2-40B4-BE49-F238E27FC236}">
                <a16:creationId xmlns:a16="http://schemas.microsoft.com/office/drawing/2014/main" id="{EF509C53-A3E2-4172-8D15-B5ADF2389B65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chemeClr val="accent1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107830</xdr:colOff>
      <xdr:row>98</xdr:row>
      <xdr:rowOff>8986</xdr:rowOff>
    </xdr:from>
    <xdr:to>
      <xdr:col>4</xdr:col>
      <xdr:colOff>539151</xdr:colOff>
      <xdr:row>106</xdr:row>
      <xdr:rowOff>179717</xdr:rowOff>
    </xdr:to>
    <xdr:sp macro="" textlink="">
      <xdr:nvSpPr>
        <xdr:cNvPr id="54" name="Cerrar llave 53">
          <a:extLst>
            <a:ext uri="{FF2B5EF4-FFF2-40B4-BE49-F238E27FC236}">
              <a16:creationId xmlns:a16="http://schemas.microsoft.com/office/drawing/2014/main" id="{0BD94BB5-C9FD-4E3D-A140-2D808547037F}"/>
            </a:ext>
          </a:extLst>
        </xdr:cNvPr>
        <xdr:cNvSpPr/>
      </xdr:nvSpPr>
      <xdr:spPr>
        <a:xfrm>
          <a:off x="2546230" y="18677986"/>
          <a:ext cx="431321" cy="1694731"/>
        </a:xfrm>
        <a:prstGeom prst="rightBrace">
          <a:avLst>
            <a:gd name="adj1" fmla="val 8333"/>
            <a:gd name="adj2" fmla="val 8155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13479</xdr:colOff>
      <xdr:row>107</xdr:row>
      <xdr:rowOff>107834</xdr:rowOff>
    </xdr:from>
    <xdr:to>
      <xdr:col>4</xdr:col>
      <xdr:colOff>8986</xdr:colOff>
      <xdr:row>108</xdr:row>
      <xdr:rowOff>130298</xdr:rowOff>
    </xdr:to>
    <xdr:sp macro="" textlink="">
      <xdr:nvSpPr>
        <xdr:cNvPr id="55" name="Cerrar llave 54">
          <a:extLst>
            <a:ext uri="{FF2B5EF4-FFF2-40B4-BE49-F238E27FC236}">
              <a16:creationId xmlns:a16="http://schemas.microsoft.com/office/drawing/2014/main" id="{25CA7836-1FF0-4ED0-AF97-5B1514B37BA8}"/>
            </a:ext>
          </a:extLst>
        </xdr:cNvPr>
        <xdr:cNvSpPr/>
      </xdr:nvSpPr>
      <xdr:spPr>
        <a:xfrm rot="5400000">
          <a:off x="1428751" y="19685662"/>
          <a:ext cx="212964" cy="1824307"/>
        </a:xfrm>
        <a:prstGeom prst="rightBrace">
          <a:avLst>
            <a:gd name="adj1" fmla="val 8333"/>
            <a:gd name="adj2" fmla="val 5010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601266</xdr:colOff>
      <xdr:row>4</xdr:row>
      <xdr:rowOff>3</xdr:rowOff>
    </xdr:from>
    <xdr:to>
      <xdr:col>8</xdr:col>
      <xdr:colOff>520113</xdr:colOff>
      <xdr:row>9</xdr:row>
      <xdr:rowOff>160737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97A0C376-13E0-4AC1-B220-3EC150B07179}"/>
            </a:ext>
          </a:extLst>
        </xdr:cNvPr>
        <xdr:cNvGrpSpPr/>
      </xdr:nvGrpSpPr>
      <xdr:grpSpPr>
        <a:xfrm>
          <a:off x="3045417" y="754814"/>
          <a:ext cx="2362998" cy="1104248"/>
          <a:chOff x="601266" y="16763922"/>
          <a:chExt cx="2344928" cy="1113312"/>
        </a:xfrm>
      </xdr:grpSpPr>
      <xdr:sp macro="" textlink="">
        <xdr:nvSpPr>
          <xdr:cNvPr id="57" name="Rectángulo 56">
            <a:extLst>
              <a:ext uri="{FF2B5EF4-FFF2-40B4-BE49-F238E27FC236}">
                <a16:creationId xmlns:a16="http://schemas.microsoft.com/office/drawing/2014/main" id="{D08CD789-142F-4009-B3CD-F48D720A533F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338ADB03-A7C8-41BA-9B94-0C4DEF172561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9BE3C2A8-8D69-4046-BD76-1A21286233C0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55E33E2-18BB-4628-9AC6-E3A73E56A2E8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70" name="Elipse 69">
              <a:extLst>
                <a:ext uri="{FF2B5EF4-FFF2-40B4-BE49-F238E27FC236}">
                  <a16:creationId xmlns:a16="http://schemas.microsoft.com/office/drawing/2014/main" id="{A3E9AA21-988E-4706-A107-7F31BE1EC5CA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1" name="Elipse 70">
              <a:extLst>
                <a:ext uri="{FF2B5EF4-FFF2-40B4-BE49-F238E27FC236}">
                  <a16:creationId xmlns:a16="http://schemas.microsoft.com/office/drawing/2014/main" id="{4422734A-C23B-4B69-B6E5-29D11C35B78E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2" name="Elipse 71">
              <a:extLst>
                <a:ext uri="{FF2B5EF4-FFF2-40B4-BE49-F238E27FC236}">
                  <a16:creationId xmlns:a16="http://schemas.microsoft.com/office/drawing/2014/main" id="{666725DF-E4A9-43FA-9895-F20FB0A2BDA8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3" name="Elipse 72">
              <a:extLst>
                <a:ext uri="{FF2B5EF4-FFF2-40B4-BE49-F238E27FC236}">
                  <a16:creationId xmlns:a16="http://schemas.microsoft.com/office/drawing/2014/main" id="{A8195C3A-A3AF-4974-9694-7D8A4917BC20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4" name="Elipse 73">
              <a:extLst>
                <a:ext uri="{FF2B5EF4-FFF2-40B4-BE49-F238E27FC236}">
                  <a16:creationId xmlns:a16="http://schemas.microsoft.com/office/drawing/2014/main" id="{25C73769-592A-4177-BEBA-B8DB7B17AC9F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5" name="Elipse 74">
              <a:extLst>
                <a:ext uri="{FF2B5EF4-FFF2-40B4-BE49-F238E27FC236}">
                  <a16:creationId xmlns:a16="http://schemas.microsoft.com/office/drawing/2014/main" id="{EE198489-6D41-4AE0-B401-79D4ED4E371C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6" name="Elipse 75">
              <a:extLst>
                <a:ext uri="{FF2B5EF4-FFF2-40B4-BE49-F238E27FC236}">
                  <a16:creationId xmlns:a16="http://schemas.microsoft.com/office/drawing/2014/main" id="{E384EFA9-79E4-4252-BC4A-09205C0EA734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77" name="Elipse 76">
              <a:extLst>
                <a:ext uri="{FF2B5EF4-FFF2-40B4-BE49-F238E27FC236}">
                  <a16:creationId xmlns:a16="http://schemas.microsoft.com/office/drawing/2014/main" id="{8C60DAEC-0567-42FE-95CC-B20A40CB2C8E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Abrir corchete 60">
            <a:extLst>
              <a:ext uri="{FF2B5EF4-FFF2-40B4-BE49-F238E27FC236}">
                <a16:creationId xmlns:a16="http://schemas.microsoft.com/office/drawing/2014/main" id="{68EC7668-15BC-405C-8F5B-FC2FB87C1C01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62" name="Grupo 61">
            <a:extLst>
              <a:ext uri="{FF2B5EF4-FFF2-40B4-BE49-F238E27FC236}">
                <a16:creationId xmlns:a16="http://schemas.microsoft.com/office/drawing/2014/main" id="{2FE14C66-889D-4AC2-A669-24FFF843C378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67" name="Conector recto de flecha 66">
              <a:extLst>
                <a:ext uri="{FF2B5EF4-FFF2-40B4-BE49-F238E27FC236}">
                  <a16:creationId xmlns:a16="http://schemas.microsoft.com/office/drawing/2014/main" id="{EAB1ED54-DEBD-4D81-8904-378D3A414B50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8" name="Conector recto 67">
              <a:extLst>
                <a:ext uri="{FF2B5EF4-FFF2-40B4-BE49-F238E27FC236}">
                  <a16:creationId xmlns:a16="http://schemas.microsoft.com/office/drawing/2014/main" id="{11E5D39C-2839-4988-962B-EEEC0A2C1FBD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ector recto 68">
              <a:extLst>
                <a:ext uri="{FF2B5EF4-FFF2-40B4-BE49-F238E27FC236}">
                  <a16:creationId xmlns:a16="http://schemas.microsoft.com/office/drawing/2014/main" id="{ABE19791-E98B-4E6E-9CA8-07ACBB730D57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3" name="Grupo 62">
            <a:extLst>
              <a:ext uri="{FF2B5EF4-FFF2-40B4-BE49-F238E27FC236}">
                <a16:creationId xmlns:a16="http://schemas.microsoft.com/office/drawing/2014/main" id="{AD9051C1-26CD-4665-A9DA-B4181FE9C25D}"/>
              </a:ext>
            </a:extLst>
          </xdr:cNvPr>
          <xdr:cNvGrpSpPr/>
        </xdr:nvGrpSpPr>
        <xdr:grpSpPr>
          <a:xfrm>
            <a:off x="2393157" y="16763922"/>
            <a:ext cx="553037" cy="958531"/>
            <a:chOff x="2428875" y="16763922"/>
            <a:chExt cx="553037" cy="958531"/>
          </a:xfrm>
        </xdr:grpSpPr>
        <xdr:cxnSp macro="">
          <xdr:nvCxnSpPr>
            <xdr:cNvPr id="64" name="Conector recto 63">
              <a:extLst>
                <a:ext uri="{FF2B5EF4-FFF2-40B4-BE49-F238E27FC236}">
                  <a16:creationId xmlns:a16="http://schemas.microsoft.com/office/drawing/2014/main" id="{DF447BB2-E591-4A49-A6BE-AA54BCAAA612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ector recto 64">
              <a:extLst>
                <a:ext uri="{FF2B5EF4-FFF2-40B4-BE49-F238E27FC236}">
                  <a16:creationId xmlns:a16="http://schemas.microsoft.com/office/drawing/2014/main" id="{7E6E1D83-9637-42D1-B27D-0A02F5964B8C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Conector recto de flecha 65">
              <a:extLst>
                <a:ext uri="{FF2B5EF4-FFF2-40B4-BE49-F238E27FC236}">
                  <a16:creationId xmlns:a16="http://schemas.microsoft.com/office/drawing/2014/main" id="{6C410D45-C0C7-4A43-87B9-3E1C19C39478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" name="Conector recto de flecha 77">
              <a:extLst>
                <a:ext uri="{FF2B5EF4-FFF2-40B4-BE49-F238E27FC236}">
                  <a16:creationId xmlns:a16="http://schemas.microsoft.com/office/drawing/2014/main" id="{6645617A-434E-4A75-88B2-2B4989E4B1CF}"/>
                </a:ext>
              </a:extLst>
            </xdr:cNvPr>
            <xdr:cNvCxnSpPr/>
          </xdr:nvCxnSpPr>
          <xdr:spPr>
            <a:xfrm>
              <a:off x="2981912" y="16763922"/>
              <a:ext cx="0" cy="958531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214312</xdr:colOff>
      <xdr:row>24</xdr:row>
      <xdr:rowOff>14287</xdr:rowOff>
    </xdr:from>
    <xdr:ext cx="18156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F76D487-C5ED-4826-929F-192C67A02D4C}"/>
                </a:ext>
              </a:extLst>
            </xdr:cNvPr>
            <xdr:cNvSpPr txBox="1"/>
          </xdr:nvSpPr>
          <xdr:spPr>
            <a:xfrm>
              <a:off x="214312" y="45862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𝒏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𝒒𝒂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𝒎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𝑯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𝜸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𝒉𝒛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F76D487-C5ED-4826-929F-192C67A02D4C}"/>
                </a:ext>
              </a:extLst>
            </xdr:cNvPr>
            <xdr:cNvSpPr txBox="1"/>
          </xdr:nvSpPr>
          <xdr:spPr>
            <a:xfrm>
              <a:off x="214312" y="4586287"/>
              <a:ext cx="1815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𝒏=𝒒𝒂−𝜸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𝒎×𝑯−𝜸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𝒄×𝒉𝒛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0</xdr:col>
      <xdr:colOff>290512</xdr:colOff>
      <xdr:row>34</xdr:row>
      <xdr:rowOff>14287</xdr:rowOff>
    </xdr:from>
    <xdr:ext cx="20942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4034DC97-4C6C-45EC-BAE8-6F4CBD6B5064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s-PE" sz="11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s-PE" sz="1100" b="1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𝑩</m:t>
                                </m:r>
                                <m:r>
                                  <a:rPr lang="es-PE" sz="1100" b="1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𝒃</m:t>
                                </m:r>
                              </m:e>
                            </m:d>
                          </m:num>
                          <m:den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den>
                        </m:f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</m: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𝟏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4034DC97-4C6C-45EC-BAE8-6F4CBD6B5064}"/>
                </a:ext>
              </a:extLst>
            </xdr:cNvPr>
            <xdr:cNvSpPr txBox="1"/>
          </xdr:nvSpPr>
          <xdr:spPr>
            <a:xfrm>
              <a:off x="900112" y="6491287"/>
              <a:ext cx="20942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s-PE" sz="1100" b="1" i="0">
                  <a:latin typeface="Cambria Math" panose="02040503050406030204" pitchFamily="18" charset="0"/>
                </a:rPr>
                <a:t>𝑩−𝒃)∕𝟐−𝒅)×𝟏𝒎×𝝈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0</xdr:col>
      <xdr:colOff>252412</xdr:colOff>
      <xdr:row>37</xdr:row>
      <xdr:rowOff>157162</xdr:rowOff>
    </xdr:from>
    <xdr:ext cx="1416157" cy="206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182FF86F-6CBE-4300-87AD-804BC1B79085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𝟎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,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𝟓𝟑</m:t>
                    </m:r>
                    <m:rad>
                      <m:radPr>
                        <m:degHide m:val="on"/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𝒇</m:t>
                            </m:r>
                          </m:e>
                          <m:sub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sub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bSup>
                      </m:e>
                    </m:rad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𝒃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𝒅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182FF86F-6CBE-4300-87AD-804BC1B79085}"/>
                </a:ext>
              </a:extLst>
            </xdr:cNvPr>
            <xdr:cNvSpPr txBox="1"/>
          </xdr:nvSpPr>
          <xdr:spPr>
            <a:xfrm>
              <a:off x="862012" y="7205662"/>
              <a:ext cx="1416157" cy="206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𝑽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𝒄=𝟎,𝟓𝟑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</a:t>
              </a:r>
              <a:r>
                <a:rPr lang="es-PE" sz="1100" b="1" i="0">
                  <a:latin typeface="Cambria Math" panose="02040503050406030204" pitchFamily="18" charset="0"/>
                </a:rPr>
                <a:t>𝒇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𝒄^′ 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s-PE" sz="1100" b="1" i="0">
                  <a:latin typeface="Cambria Math" panose="02040503050406030204" pitchFamily="18" charset="0"/>
                </a:rPr>
                <a:t>×𝒃×𝒅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0</xdr:col>
      <xdr:colOff>223837</xdr:colOff>
      <xdr:row>48</xdr:row>
      <xdr:rowOff>4762</xdr:rowOff>
    </xdr:from>
    <xdr:ext cx="1051313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86FDA4C-DF8E-46F6-B0CF-D23CC84803E3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𝝈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type m:val="lin"/>
                        <m:ctrlPr>
                          <a:rPr lang="es-PE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𝑳</m:t>
                            </m:r>
                          </m:e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𝟐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86FDA4C-DF8E-46F6-B0CF-D23CC84803E3}"/>
                </a:ext>
              </a:extLst>
            </xdr:cNvPr>
            <xdr:cNvSpPr txBox="1"/>
          </xdr:nvSpPr>
          <xdr:spPr>
            <a:xfrm>
              <a:off x="833437" y="9148762"/>
              <a:ext cx="105131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𝑴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𝒖=𝝈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𝒖×𝑳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𝟐∕𝟐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4</xdr:col>
      <xdr:colOff>119062</xdr:colOff>
      <xdr:row>54</xdr:row>
      <xdr:rowOff>4762</xdr:rowOff>
    </xdr:from>
    <xdr:ext cx="95833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123DF0A-2D90-48F3-A435-C100AA028626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𝒔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𝑴𝒖</m:t>
                        </m:r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𝟑𝟒𝟎𝟐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123DF0A-2D90-48F3-A435-C100AA028626}"/>
                </a:ext>
              </a:extLst>
            </xdr:cNvPr>
            <xdr:cNvSpPr txBox="1"/>
          </xdr:nvSpPr>
          <xdr:spPr>
            <a:xfrm>
              <a:off x="3167062" y="10291762"/>
              <a:ext cx="95833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𝑨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𝒔=𝑴𝒖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/(</a:t>
              </a:r>
              <a:r>
                <a:rPr lang="es-PE" sz="1100" b="1" i="0">
                  <a:latin typeface="Cambria Math" panose="02040503050406030204" pitchFamily="18" charset="0"/>
                </a:rPr>
                <a:t>𝟑𝟒𝟎𝟐×𝒅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twoCellAnchor>
    <xdr:from>
      <xdr:col>0</xdr:col>
      <xdr:colOff>0</xdr:colOff>
      <xdr:row>87</xdr:row>
      <xdr:rowOff>9525</xdr:rowOff>
    </xdr:from>
    <xdr:to>
      <xdr:col>3</xdr:col>
      <xdr:colOff>154782</xdr:colOff>
      <xdr:row>92</xdr:row>
      <xdr:rowOff>160734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97E3D33F-4953-4104-9E75-AB6BB5068B42}"/>
            </a:ext>
          </a:extLst>
        </xdr:cNvPr>
        <xdr:cNvGrpSpPr/>
      </xdr:nvGrpSpPr>
      <xdr:grpSpPr>
        <a:xfrm>
          <a:off x="0" y="17007987"/>
          <a:ext cx="2096417" cy="1128132"/>
          <a:chOff x="601266" y="16773525"/>
          <a:chExt cx="1982391" cy="1103709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DD1DDA3A-38DB-40C4-8241-4D76CA04EF84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66FDC06E-6D1C-4F0D-B8C5-525C4C641AEB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876E33D-927C-47B7-879D-E5E5FA8FFD58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8D2A050E-83CE-43D7-8DE2-A9468B3B53FB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15" name="Elipse 14">
              <a:extLst>
                <a:ext uri="{FF2B5EF4-FFF2-40B4-BE49-F238E27FC236}">
                  <a16:creationId xmlns:a16="http://schemas.microsoft.com/office/drawing/2014/main" id="{9DA4F306-7450-48CF-9E06-8AC55FBD9A17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8" name="Elipse 17">
              <a:extLst>
                <a:ext uri="{FF2B5EF4-FFF2-40B4-BE49-F238E27FC236}">
                  <a16:creationId xmlns:a16="http://schemas.microsoft.com/office/drawing/2014/main" id="{0BCE6346-B834-4B04-96F3-FB77D49221B5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D1998466-C302-447D-B218-4C067A869178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0" name="Elipse 19">
              <a:extLst>
                <a:ext uri="{FF2B5EF4-FFF2-40B4-BE49-F238E27FC236}">
                  <a16:creationId xmlns:a16="http://schemas.microsoft.com/office/drawing/2014/main" id="{FFCE4C22-488C-4F03-82F6-0417A89BDF9A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74F0D990-859A-4F01-A475-254C8C161CFC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2" name="Elipse 21">
              <a:extLst>
                <a:ext uri="{FF2B5EF4-FFF2-40B4-BE49-F238E27FC236}">
                  <a16:creationId xmlns:a16="http://schemas.microsoft.com/office/drawing/2014/main" id="{3936551A-1A39-41CA-A0B8-6B0FD802F834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3" name="Elipse 22">
              <a:extLst>
                <a:ext uri="{FF2B5EF4-FFF2-40B4-BE49-F238E27FC236}">
                  <a16:creationId xmlns:a16="http://schemas.microsoft.com/office/drawing/2014/main" id="{A4AB52E2-7342-4884-9072-EE63F239965A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4" name="Elipse 23">
              <a:extLst>
                <a:ext uri="{FF2B5EF4-FFF2-40B4-BE49-F238E27FC236}">
                  <a16:creationId xmlns:a16="http://schemas.microsoft.com/office/drawing/2014/main" id="{4F8D473F-F623-4BBC-AB1A-1B4BAFBE5DCB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28" name="Abrir corchete 27">
            <a:extLst>
              <a:ext uri="{FF2B5EF4-FFF2-40B4-BE49-F238E27FC236}">
                <a16:creationId xmlns:a16="http://schemas.microsoft.com/office/drawing/2014/main" id="{1CB51650-FF3B-4E2C-A795-D750A3BF4A71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5" name="Grupo 34">
            <a:extLst>
              <a:ext uri="{FF2B5EF4-FFF2-40B4-BE49-F238E27FC236}">
                <a16:creationId xmlns:a16="http://schemas.microsoft.com/office/drawing/2014/main" id="{03060463-BA16-4EAD-9261-8D9A2123741A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31" name="Conector recto de flecha 30">
              <a:extLst>
                <a:ext uri="{FF2B5EF4-FFF2-40B4-BE49-F238E27FC236}">
                  <a16:creationId xmlns:a16="http://schemas.microsoft.com/office/drawing/2014/main" id="{5C3C248E-CAC6-4A66-987C-62E34BF3033B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Conector recto 32">
              <a:extLst>
                <a:ext uri="{FF2B5EF4-FFF2-40B4-BE49-F238E27FC236}">
                  <a16:creationId xmlns:a16="http://schemas.microsoft.com/office/drawing/2014/main" id="{4AD74FFB-8A7A-4E2C-AEBF-46149DE9A8D9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ector recto 33">
              <a:extLst>
                <a:ext uri="{FF2B5EF4-FFF2-40B4-BE49-F238E27FC236}">
                  <a16:creationId xmlns:a16="http://schemas.microsoft.com/office/drawing/2014/main" id="{FCA80A3D-F32A-4767-BEEA-5368C7466953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Grupo 45">
            <a:extLst>
              <a:ext uri="{FF2B5EF4-FFF2-40B4-BE49-F238E27FC236}">
                <a16:creationId xmlns:a16="http://schemas.microsoft.com/office/drawing/2014/main" id="{4D27539D-178C-4F38-8CB5-6F22F677B60B}"/>
              </a:ext>
            </a:extLst>
          </xdr:cNvPr>
          <xdr:cNvGrpSpPr/>
        </xdr:nvGrpSpPr>
        <xdr:grpSpPr>
          <a:xfrm>
            <a:off x="2393157" y="17341453"/>
            <a:ext cx="190500" cy="381000"/>
            <a:chOff x="2428875" y="17341453"/>
            <a:chExt cx="190500" cy="381000"/>
          </a:xfrm>
        </xdr:grpSpPr>
        <xdr:cxnSp macro="">
          <xdr:nvCxnSpPr>
            <xdr:cNvPr id="42" name="Conector recto 41">
              <a:extLst>
                <a:ext uri="{FF2B5EF4-FFF2-40B4-BE49-F238E27FC236}">
                  <a16:creationId xmlns:a16="http://schemas.microsoft.com/office/drawing/2014/main" id="{8B5685F2-751A-4D58-BC22-80AA221279A1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ector recto 42">
              <a:extLst>
                <a:ext uri="{FF2B5EF4-FFF2-40B4-BE49-F238E27FC236}">
                  <a16:creationId xmlns:a16="http://schemas.microsoft.com/office/drawing/2014/main" id="{10D38A48-2AC0-4E95-8B54-89F76BD7B8F7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ector recto de flecha 44">
              <a:extLst>
                <a:ext uri="{FF2B5EF4-FFF2-40B4-BE49-F238E27FC236}">
                  <a16:creationId xmlns:a16="http://schemas.microsoft.com/office/drawing/2014/main" id="{4481FFE5-1767-436C-894C-DD384F482F56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8986</xdr:colOff>
      <xdr:row>97</xdr:row>
      <xdr:rowOff>8986</xdr:rowOff>
    </xdr:from>
    <xdr:to>
      <xdr:col>3</xdr:col>
      <xdr:colOff>17972</xdr:colOff>
      <xdr:row>106</xdr:row>
      <xdr:rowOff>17972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F8043DF9-AFAC-4DC8-93F3-AE4134DFD7A9}"/>
            </a:ext>
          </a:extLst>
        </xdr:cNvPr>
        <xdr:cNvSpPr/>
      </xdr:nvSpPr>
      <xdr:spPr>
        <a:xfrm>
          <a:off x="620024" y="18501863"/>
          <a:ext cx="1842099" cy="1707312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206674</xdr:colOff>
      <xdr:row>97</xdr:row>
      <xdr:rowOff>26958</xdr:rowOff>
    </xdr:from>
    <xdr:to>
      <xdr:col>2</xdr:col>
      <xdr:colOff>458279</xdr:colOff>
      <xdr:row>106</xdr:row>
      <xdr:rowOff>17972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CA9FEC74-80E1-431A-89FE-380395FC6ECE}"/>
            </a:ext>
          </a:extLst>
        </xdr:cNvPr>
        <xdr:cNvGrpSpPr/>
      </xdr:nvGrpSpPr>
      <xdr:grpSpPr>
        <a:xfrm>
          <a:off x="206674" y="18979266"/>
          <a:ext cx="1546028" cy="1749475"/>
          <a:chOff x="817712" y="18519835"/>
          <a:chExt cx="1473680" cy="1689340"/>
        </a:xfrm>
      </xdr:grpSpPr>
      <xdr:cxnSp macro="">
        <xdr:nvCxnSpPr>
          <xdr:cNvPr id="50" name="Conector recto 49">
            <a:extLst>
              <a:ext uri="{FF2B5EF4-FFF2-40B4-BE49-F238E27FC236}">
                <a16:creationId xmlns:a16="http://schemas.microsoft.com/office/drawing/2014/main" id="{52EF03B7-A63F-4416-8E44-253DAB44A654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ector recto 50">
            <a:extLst>
              <a:ext uri="{FF2B5EF4-FFF2-40B4-BE49-F238E27FC236}">
                <a16:creationId xmlns:a16="http://schemas.microsoft.com/office/drawing/2014/main" id="{6CCD8781-037E-4903-B81D-17B12C8A5032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Conector recto 51">
            <a:extLst>
              <a:ext uri="{FF2B5EF4-FFF2-40B4-BE49-F238E27FC236}">
                <a16:creationId xmlns:a16="http://schemas.microsoft.com/office/drawing/2014/main" id="{2577CDA3-1329-4D2F-874C-2E1DC2C1F0A8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 recto 52">
            <a:extLst>
              <a:ext uri="{FF2B5EF4-FFF2-40B4-BE49-F238E27FC236}">
                <a16:creationId xmlns:a16="http://schemas.microsoft.com/office/drawing/2014/main" id="{14962A84-75AA-42BC-8766-DFEE5EBB8667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ector recto 53">
            <a:extLst>
              <a:ext uri="{FF2B5EF4-FFF2-40B4-BE49-F238E27FC236}">
                <a16:creationId xmlns:a16="http://schemas.microsoft.com/office/drawing/2014/main" id="{1C3B8A61-B46D-4340-AF02-147E38FD2E83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ector recto 54">
            <a:extLst>
              <a:ext uri="{FF2B5EF4-FFF2-40B4-BE49-F238E27FC236}">
                <a16:creationId xmlns:a16="http://schemas.microsoft.com/office/drawing/2014/main" id="{ACB2063A-707E-421E-98CF-D1F30B44E384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Conector recto 55">
            <a:extLst>
              <a:ext uri="{FF2B5EF4-FFF2-40B4-BE49-F238E27FC236}">
                <a16:creationId xmlns:a16="http://schemas.microsoft.com/office/drawing/2014/main" id="{627BA73E-B5F5-467E-BE94-1B899D395204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ector recto 56">
            <a:extLst>
              <a:ext uri="{FF2B5EF4-FFF2-40B4-BE49-F238E27FC236}">
                <a16:creationId xmlns:a16="http://schemas.microsoft.com/office/drawing/2014/main" id="{8C5A20F5-70EF-4EE3-B1D2-BBD90874F8DD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80872</xdr:colOff>
      <xdr:row>97</xdr:row>
      <xdr:rowOff>125802</xdr:rowOff>
    </xdr:from>
    <xdr:to>
      <xdr:col>2</xdr:col>
      <xdr:colOff>548137</xdr:colOff>
      <xdr:row>105</xdr:row>
      <xdr:rowOff>89859</xdr:rowOff>
    </xdr:to>
    <xdr:grpSp>
      <xdr:nvGrpSpPr>
        <xdr:cNvPr id="67" name="Grupo 66">
          <a:extLst>
            <a:ext uri="{FF2B5EF4-FFF2-40B4-BE49-F238E27FC236}">
              <a16:creationId xmlns:a16="http://schemas.microsoft.com/office/drawing/2014/main" id="{6E309A72-BCAD-4D13-89E9-63E557F0ACE9}"/>
            </a:ext>
          </a:extLst>
        </xdr:cNvPr>
        <xdr:cNvGrpSpPr/>
      </xdr:nvGrpSpPr>
      <xdr:grpSpPr>
        <a:xfrm rot="5400000">
          <a:off x="198149" y="18960833"/>
          <a:ext cx="1527134" cy="1761688"/>
          <a:chOff x="817712" y="18519835"/>
          <a:chExt cx="1473680" cy="1689340"/>
        </a:xfrm>
      </xdr:grpSpPr>
      <xdr:cxnSp macro="">
        <xdr:nvCxnSpPr>
          <xdr:cNvPr id="68" name="Conector recto 67">
            <a:extLst>
              <a:ext uri="{FF2B5EF4-FFF2-40B4-BE49-F238E27FC236}">
                <a16:creationId xmlns:a16="http://schemas.microsoft.com/office/drawing/2014/main" id="{65EFD945-E048-40D2-95A2-439A0FDDBFCC}"/>
              </a:ext>
            </a:extLst>
          </xdr:cNvPr>
          <xdr:cNvCxnSpPr/>
        </xdr:nvCxnSpPr>
        <xdr:spPr>
          <a:xfrm>
            <a:off x="81771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ector recto 68">
            <a:extLst>
              <a:ext uri="{FF2B5EF4-FFF2-40B4-BE49-F238E27FC236}">
                <a16:creationId xmlns:a16="http://schemas.microsoft.com/office/drawing/2014/main" id="{C5366192-7D26-433F-A1FE-8BA96DF76FCE}"/>
              </a:ext>
            </a:extLst>
          </xdr:cNvPr>
          <xdr:cNvCxnSpPr/>
        </xdr:nvCxnSpPr>
        <xdr:spPr>
          <a:xfrm>
            <a:off x="102823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ector recto 69">
            <a:extLst>
              <a:ext uri="{FF2B5EF4-FFF2-40B4-BE49-F238E27FC236}">
                <a16:creationId xmlns:a16="http://schemas.microsoft.com/office/drawing/2014/main" id="{9C210CE5-ECEF-45C7-8F5F-F3745B6626DF}"/>
              </a:ext>
            </a:extLst>
          </xdr:cNvPr>
          <xdr:cNvCxnSpPr/>
        </xdr:nvCxnSpPr>
        <xdr:spPr>
          <a:xfrm>
            <a:off x="1238764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Conector recto 70">
            <a:extLst>
              <a:ext uri="{FF2B5EF4-FFF2-40B4-BE49-F238E27FC236}">
                <a16:creationId xmlns:a16="http://schemas.microsoft.com/office/drawing/2014/main" id="{516B051E-A89B-4F07-A92D-E3110E8B1163}"/>
              </a:ext>
            </a:extLst>
          </xdr:cNvPr>
          <xdr:cNvCxnSpPr/>
        </xdr:nvCxnSpPr>
        <xdr:spPr>
          <a:xfrm>
            <a:off x="1449290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ector recto 71">
            <a:extLst>
              <a:ext uri="{FF2B5EF4-FFF2-40B4-BE49-F238E27FC236}">
                <a16:creationId xmlns:a16="http://schemas.microsoft.com/office/drawing/2014/main" id="{98F78289-E2C9-4013-871F-D357A6090E6A}"/>
              </a:ext>
            </a:extLst>
          </xdr:cNvPr>
          <xdr:cNvCxnSpPr/>
        </xdr:nvCxnSpPr>
        <xdr:spPr>
          <a:xfrm>
            <a:off x="1659816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Conector recto 72">
            <a:extLst>
              <a:ext uri="{FF2B5EF4-FFF2-40B4-BE49-F238E27FC236}">
                <a16:creationId xmlns:a16="http://schemas.microsoft.com/office/drawing/2014/main" id="{2621C854-91BD-4E10-A750-0931AB835F89}"/>
              </a:ext>
            </a:extLst>
          </xdr:cNvPr>
          <xdr:cNvCxnSpPr/>
        </xdr:nvCxnSpPr>
        <xdr:spPr>
          <a:xfrm>
            <a:off x="187034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Conector recto 73">
            <a:extLst>
              <a:ext uri="{FF2B5EF4-FFF2-40B4-BE49-F238E27FC236}">
                <a16:creationId xmlns:a16="http://schemas.microsoft.com/office/drawing/2014/main" id="{8A1D59C8-BC33-4780-87D4-FEC58AC2539A}"/>
              </a:ext>
            </a:extLst>
          </xdr:cNvPr>
          <xdr:cNvCxnSpPr/>
        </xdr:nvCxnSpPr>
        <xdr:spPr>
          <a:xfrm>
            <a:off x="2080868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Conector recto 74">
            <a:extLst>
              <a:ext uri="{FF2B5EF4-FFF2-40B4-BE49-F238E27FC236}">
                <a16:creationId xmlns:a16="http://schemas.microsoft.com/office/drawing/2014/main" id="{A0A1ABC5-AC24-4DB2-8A9C-B26EB04F5555}"/>
              </a:ext>
            </a:extLst>
          </xdr:cNvPr>
          <xdr:cNvCxnSpPr/>
        </xdr:nvCxnSpPr>
        <xdr:spPr>
          <a:xfrm>
            <a:off x="2291392" y="18519835"/>
            <a:ext cx="0" cy="168934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278562</xdr:colOff>
      <xdr:row>98</xdr:row>
      <xdr:rowOff>8986</xdr:rowOff>
    </xdr:from>
    <xdr:to>
      <xdr:col>6</xdr:col>
      <xdr:colOff>0</xdr:colOff>
      <xdr:row>99</xdr:row>
      <xdr:rowOff>98844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583AE1A3-D0A2-447E-95DB-E4401CC611E2}"/>
            </a:ext>
          </a:extLst>
        </xdr:cNvPr>
        <xdr:cNvGrpSpPr/>
      </xdr:nvGrpSpPr>
      <xdr:grpSpPr>
        <a:xfrm>
          <a:off x="1572985" y="19156678"/>
          <a:ext cx="2310284" cy="285243"/>
          <a:chOff x="2111675" y="18690566"/>
          <a:chExt cx="2165589" cy="278561"/>
        </a:xfrm>
      </xdr:grpSpPr>
      <xdr:cxnSp macro="">
        <xdr:nvCxnSpPr>
          <xdr:cNvPr id="77" name="Conector recto de flecha 76">
            <a:extLst>
              <a:ext uri="{FF2B5EF4-FFF2-40B4-BE49-F238E27FC236}">
                <a16:creationId xmlns:a16="http://schemas.microsoft.com/office/drawing/2014/main" id="{E85EC96F-AFC8-4A60-BD95-D28C65CAA0B5}"/>
              </a:ext>
            </a:extLst>
          </xdr:cNvPr>
          <xdr:cNvCxnSpPr/>
        </xdr:nvCxnSpPr>
        <xdr:spPr>
          <a:xfrm flipH="1">
            <a:off x="2111675" y="18690566"/>
            <a:ext cx="956394" cy="27856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Conector recto 79">
            <a:extLst>
              <a:ext uri="{FF2B5EF4-FFF2-40B4-BE49-F238E27FC236}">
                <a16:creationId xmlns:a16="http://schemas.microsoft.com/office/drawing/2014/main" id="{9116FCAF-D1D5-41D2-A9DE-EDB0A82C5E64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557124</xdr:colOff>
      <xdr:row>102</xdr:row>
      <xdr:rowOff>8986</xdr:rowOff>
    </xdr:from>
    <xdr:to>
      <xdr:col>6</xdr:col>
      <xdr:colOff>1</xdr:colOff>
      <xdr:row>103</xdr:row>
      <xdr:rowOff>44930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2C9AB4AA-1B45-4967-9D0F-37F5E0C60B54}"/>
            </a:ext>
          </a:extLst>
        </xdr:cNvPr>
        <xdr:cNvGrpSpPr/>
      </xdr:nvGrpSpPr>
      <xdr:grpSpPr>
        <a:xfrm>
          <a:off x="1851547" y="19938217"/>
          <a:ext cx="2031723" cy="231328"/>
          <a:chOff x="2121939" y="18690566"/>
          <a:chExt cx="2155325" cy="224646"/>
        </a:xfrm>
      </xdr:grpSpPr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BCB1F974-AB16-4EC9-9CFA-94BAE73EB028}"/>
              </a:ext>
            </a:extLst>
          </xdr:cNvPr>
          <xdr:cNvCxnSpPr/>
        </xdr:nvCxnSpPr>
        <xdr:spPr>
          <a:xfrm flipH="1">
            <a:off x="2121939" y="18690566"/>
            <a:ext cx="946132" cy="224646"/>
          </a:xfrm>
          <a:prstGeom prst="straightConnector1">
            <a:avLst/>
          </a:prstGeom>
          <a:ln>
            <a:solidFill>
              <a:schemeClr val="accent1"/>
            </a:solidFill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85" name="Conector recto 84">
            <a:extLst>
              <a:ext uri="{FF2B5EF4-FFF2-40B4-BE49-F238E27FC236}">
                <a16:creationId xmlns:a16="http://schemas.microsoft.com/office/drawing/2014/main" id="{23462B75-3CE6-417E-B846-058D450D8D0D}"/>
              </a:ext>
            </a:extLst>
          </xdr:cNvPr>
          <xdr:cNvCxnSpPr/>
        </xdr:nvCxnSpPr>
        <xdr:spPr>
          <a:xfrm>
            <a:off x="3046203" y="18690566"/>
            <a:ext cx="1231061" cy="0"/>
          </a:xfrm>
          <a:prstGeom prst="line">
            <a:avLst/>
          </a:prstGeom>
          <a:ln>
            <a:solidFill>
              <a:schemeClr val="accent1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107830</xdr:colOff>
      <xdr:row>97</xdr:row>
      <xdr:rowOff>8986</xdr:rowOff>
    </xdr:from>
    <xdr:to>
      <xdr:col>3</xdr:col>
      <xdr:colOff>539151</xdr:colOff>
      <xdr:row>105</xdr:row>
      <xdr:rowOff>179717</xdr:rowOff>
    </xdr:to>
    <xdr:sp macro="" textlink="">
      <xdr:nvSpPr>
        <xdr:cNvPr id="87" name="Cerrar llave 86">
          <a:extLst>
            <a:ext uri="{FF2B5EF4-FFF2-40B4-BE49-F238E27FC236}">
              <a16:creationId xmlns:a16="http://schemas.microsoft.com/office/drawing/2014/main" id="{45F47AE8-66B4-46BF-BD01-E5ADF3AD2634}"/>
            </a:ext>
          </a:extLst>
        </xdr:cNvPr>
        <xdr:cNvSpPr/>
      </xdr:nvSpPr>
      <xdr:spPr>
        <a:xfrm>
          <a:off x="2551981" y="18501863"/>
          <a:ext cx="431321" cy="1680354"/>
        </a:xfrm>
        <a:prstGeom prst="rightBrace">
          <a:avLst>
            <a:gd name="adj1" fmla="val 8333"/>
            <a:gd name="adj2" fmla="val 8155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13479</xdr:colOff>
      <xdr:row>106</xdr:row>
      <xdr:rowOff>107834</xdr:rowOff>
    </xdr:from>
    <xdr:to>
      <xdr:col>3</xdr:col>
      <xdr:colOff>8986</xdr:colOff>
      <xdr:row>107</xdr:row>
      <xdr:rowOff>130298</xdr:rowOff>
    </xdr:to>
    <xdr:sp macro="" textlink="">
      <xdr:nvSpPr>
        <xdr:cNvPr id="88" name="Cerrar llave 87">
          <a:extLst>
            <a:ext uri="{FF2B5EF4-FFF2-40B4-BE49-F238E27FC236}">
              <a16:creationId xmlns:a16="http://schemas.microsoft.com/office/drawing/2014/main" id="{66611343-5E23-472C-8C9D-FEF23768A294}"/>
            </a:ext>
          </a:extLst>
        </xdr:cNvPr>
        <xdr:cNvSpPr/>
      </xdr:nvSpPr>
      <xdr:spPr>
        <a:xfrm rot="5400000">
          <a:off x="1433243" y="19490311"/>
          <a:ext cx="211167" cy="1828620"/>
        </a:xfrm>
        <a:prstGeom prst="rightBrace">
          <a:avLst>
            <a:gd name="adj1" fmla="val 8333"/>
            <a:gd name="adj2" fmla="val 50101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4</xdr:col>
      <xdr:colOff>307675</xdr:colOff>
      <xdr:row>128</xdr:row>
      <xdr:rowOff>102081</xdr:rowOff>
    </xdr:from>
    <xdr:ext cx="856453" cy="3429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890D043-906B-4B5E-BE92-011101942347}"/>
                </a:ext>
              </a:extLst>
            </xdr:cNvPr>
            <xdr:cNvSpPr txBox="1"/>
          </xdr:nvSpPr>
          <xdr:spPr>
            <a:xfrm>
              <a:off x="5565475" y="3721581"/>
              <a:ext cx="856453" cy="342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𝒖</m:t>
                        </m:r>
                      </m:sub>
                    </m:sSub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𝑾</m:t>
                            </m:r>
                          </m:e>
                          <m:sub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𝒖</m:t>
                            </m:r>
                          </m:sub>
                        </m:s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𝒙</m:t>
                        </m:r>
                        <m:sSup>
                          <m:s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𝑳</m:t>
                            </m:r>
                          </m:e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𝟐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890D043-906B-4B5E-BE92-011101942347}"/>
                </a:ext>
              </a:extLst>
            </xdr:cNvPr>
            <xdr:cNvSpPr txBox="1"/>
          </xdr:nvSpPr>
          <xdr:spPr>
            <a:xfrm>
              <a:off x="5565475" y="3721581"/>
              <a:ext cx="856453" cy="342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1" i="0">
                  <a:latin typeface="Cambria Math" panose="02040503050406030204" pitchFamily="18" charset="0"/>
                </a:rPr>
                <a:t>𝑴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𝒖=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ES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𝑾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𝒖 𝒙𝑳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𝟐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s-PE" sz="1100" b="1" i="0">
                  <a:latin typeface="Cambria Math" panose="02040503050406030204" pitchFamily="18" charset="0"/>
                </a:rPr>
                <a:t>𝟐</a:t>
              </a:r>
              <a:endParaRPr lang="es-PE" sz="1100" b="1"/>
            </a:p>
          </xdr:txBody>
        </xdr:sp>
      </mc:Fallback>
    </mc:AlternateContent>
    <xdr:clientData/>
  </xdr:oneCellAnchor>
  <xdr:twoCellAnchor editAs="oneCell">
    <xdr:from>
      <xdr:col>10</xdr:col>
      <xdr:colOff>37230</xdr:colOff>
      <xdr:row>5</xdr:row>
      <xdr:rowOff>90548</xdr:rowOff>
    </xdr:from>
    <xdr:to>
      <xdr:col>18</xdr:col>
      <xdr:colOff>52420</xdr:colOff>
      <xdr:row>19</xdr:row>
      <xdr:rowOff>142031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E119438-AF54-4B2F-8E64-FE7664076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9345" y="1067471"/>
          <a:ext cx="5290575" cy="2786868"/>
        </a:xfrm>
        <a:prstGeom prst="rect">
          <a:avLst/>
        </a:prstGeom>
      </xdr:spPr>
    </xdr:pic>
    <xdr:clientData/>
  </xdr:twoCellAnchor>
  <xdr:oneCellAnchor>
    <xdr:from>
      <xdr:col>4</xdr:col>
      <xdr:colOff>563591</xdr:colOff>
      <xdr:row>111</xdr:row>
      <xdr:rowOff>171809</xdr:rowOff>
    </xdr:from>
    <xdr:ext cx="744884" cy="2254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F0B90029-D632-49E4-9C33-3790E38363F6}"/>
                </a:ext>
              </a:extLst>
            </xdr:cNvPr>
            <xdr:cNvSpPr txBox="1"/>
          </xdr:nvSpPr>
          <xdr:spPr>
            <a:xfrm>
              <a:off x="5821391" y="552809"/>
              <a:ext cx="744884" cy="225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2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200" b="1" i="1">
                            <a:latin typeface="Cambria Math" panose="02040503050406030204" pitchFamily="18" charset="0"/>
                          </a:rPr>
                          <m:t>𝒇</m:t>
                        </m:r>
                      </m:e>
                      <m:sub>
                        <m:r>
                          <a:rPr lang="es-PE" sz="1200" b="1" i="1">
                            <a:latin typeface="Cambria Math" panose="02040503050406030204" pitchFamily="18" charset="0"/>
                          </a:rPr>
                          <m:t>𝒓</m:t>
                        </m:r>
                      </m:sub>
                    </m:sSub>
                    <m:r>
                      <a:rPr lang="es-PE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200" b="1" i="0">
                        <a:latin typeface="Cambria Math" panose="02040503050406030204" pitchFamily="18" charset="0"/>
                      </a:rPr>
                      <m:t>𝟐</m:t>
                    </m:r>
                    <m:rad>
                      <m:radPr>
                        <m:degHide m:val="on"/>
                        <m:ctrlPr>
                          <a:rPr lang="es-PE" sz="12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12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𝒇</m:t>
                            </m:r>
                          </m:e>
                          <m:sub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sub>
                          <m:sup>
                            <m:r>
                              <a:rPr lang="es-PE" sz="1200" b="1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F0B90029-D632-49E4-9C33-3790E38363F6}"/>
                </a:ext>
              </a:extLst>
            </xdr:cNvPr>
            <xdr:cNvSpPr txBox="1"/>
          </xdr:nvSpPr>
          <xdr:spPr>
            <a:xfrm>
              <a:off x="5821391" y="552809"/>
              <a:ext cx="744884" cy="225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200" b="1" i="0">
                  <a:latin typeface="Cambria Math" panose="02040503050406030204" pitchFamily="18" charset="0"/>
                </a:rPr>
                <a:t>𝒇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200" b="1" i="0">
                  <a:latin typeface="Cambria Math" panose="02040503050406030204" pitchFamily="18" charset="0"/>
                </a:rPr>
                <a:t>𝒓=𝟐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√(</a:t>
              </a:r>
              <a:r>
                <a:rPr lang="es-PE" sz="1200" b="1" i="0">
                  <a:latin typeface="Cambria Math" panose="02040503050406030204" pitchFamily="18" charset="0"/>
                </a:rPr>
                <a:t>𝒇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200" b="1" i="0">
                  <a:latin typeface="Cambria Math" panose="02040503050406030204" pitchFamily="18" charset="0"/>
                </a:rPr>
                <a:t>𝒄^′ 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4</xdr:col>
      <xdr:colOff>581563</xdr:colOff>
      <xdr:row>110</xdr:row>
      <xdr:rowOff>171269</xdr:rowOff>
    </xdr:from>
    <xdr:ext cx="74789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E148ED62-DFEA-4136-8AF5-E2795E92878E}"/>
                </a:ext>
              </a:extLst>
            </xdr:cNvPr>
            <xdr:cNvSpPr txBox="1"/>
          </xdr:nvSpPr>
          <xdr:spPr>
            <a:xfrm>
              <a:off x="5839363" y="361769"/>
              <a:ext cx="7478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200" b="1" i="1">
                        <a:latin typeface="Cambria Math" panose="02040503050406030204" pitchFamily="18" charset="0"/>
                      </a:rPr>
                      <m:t>𝒏</m:t>
                    </m:r>
                    <m:r>
                      <a:rPr lang="es-PE" sz="12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s-PE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12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𝑬</m:t>
                            </m:r>
                          </m:e>
                          <m:sub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𝒔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12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𝑬</m:t>
                            </m:r>
                          </m:e>
                          <m:sub>
                            <m:r>
                              <a:rPr lang="es-PE" sz="12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E148ED62-DFEA-4136-8AF5-E2795E92878E}"/>
                </a:ext>
              </a:extLst>
            </xdr:cNvPr>
            <xdr:cNvSpPr txBox="1"/>
          </xdr:nvSpPr>
          <xdr:spPr>
            <a:xfrm>
              <a:off x="5839363" y="361769"/>
              <a:ext cx="7478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200" b="1" i="0">
                  <a:latin typeface="Cambria Math" panose="02040503050406030204" pitchFamily="18" charset="0"/>
                </a:rPr>
                <a:t>𝒏=𝑬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200" b="1" i="0">
                  <a:latin typeface="Cambria Math" panose="02040503050406030204" pitchFamily="18" charset="0"/>
                </a:rPr>
                <a:t>𝒔∕𝑬</a:t>
              </a:r>
              <a:r>
                <a:rPr lang="es-PE" sz="12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200" b="1" i="0">
                  <a:latin typeface="Cambria Math" panose="02040503050406030204" pitchFamily="18" charset="0"/>
                </a:rPr>
                <a:t>𝒄 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4</xdr:col>
      <xdr:colOff>390525</xdr:colOff>
      <xdr:row>114</xdr:row>
      <xdr:rowOff>28575</xdr:rowOff>
    </xdr:from>
    <xdr:ext cx="9931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6BF5BE1A-CD4C-4834-8EF9-D973B5F4BD65}"/>
                </a:ext>
              </a:extLst>
            </xdr:cNvPr>
            <xdr:cNvSpPr txBox="1"/>
          </xdr:nvSpPr>
          <xdr:spPr>
            <a:xfrm>
              <a:off x="5648325" y="981075"/>
              <a:ext cx="9931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1" i="1">
                        <a:latin typeface="Cambria Math" panose="02040503050406030204" pitchFamily="18" charset="0"/>
                      </a:rPr>
                      <m:t>𝑨𝒕</m:t>
                    </m:r>
                    <m:r>
                      <a:rPr lang="es-ES" sz="1100" b="1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𝒏</m:t>
                        </m:r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𝟏</m:t>
                        </m:r>
                      </m:e>
                    </m:d>
                    <m:r>
                      <a:rPr lang="es-ES" sz="1100" b="1" i="1">
                        <a:latin typeface="Cambria Math" panose="02040503050406030204" pitchFamily="18" charset="0"/>
                      </a:rPr>
                      <m:t>𝑨𝒔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6BF5BE1A-CD4C-4834-8EF9-D973B5F4BD65}"/>
                </a:ext>
              </a:extLst>
            </xdr:cNvPr>
            <xdr:cNvSpPr txBox="1"/>
          </xdr:nvSpPr>
          <xdr:spPr>
            <a:xfrm>
              <a:off x="5648325" y="981075"/>
              <a:ext cx="9931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1" i="0">
                  <a:latin typeface="Cambria Math" panose="02040503050406030204" pitchFamily="18" charset="0"/>
                </a:rPr>
                <a:t>𝑨𝒕=(𝒏−𝟏)𝑨𝒔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0</xdr:col>
      <xdr:colOff>247650</xdr:colOff>
      <xdr:row>119</xdr:row>
      <xdr:rowOff>19050</xdr:rowOff>
    </xdr:from>
    <xdr:ext cx="1733550" cy="3313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11DF08B1-D22F-4760-A964-AD4DBF4CEC1F}"/>
                </a:ext>
              </a:extLst>
            </xdr:cNvPr>
            <xdr:cNvSpPr txBox="1"/>
          </xdr:nvSpPr>
          <xdr:spPr>
            <a:xfrm>
              <a:off x="2876550" y="2305050"/>
              <a:ext cx="1733550" cy="331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1" i="1">
                        <a:latin typeface="Cambria Math" panose="02040503050406030204" pitchFamily="18" charset="0"/>
                      </a:rPr>
                      <m:t>𝒀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𝒃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𝒉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𝒉</m:t>
                                </m:r>
                              </m:num>
                              <m:den>
                                <m:r>
                                  <a:rPr lang="es-PE" sz="11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den>
                            </m:f>
                          </m:e>
                        </m:d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𝑨𝒕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</m:num>
                      <m:den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𝒃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×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𝒉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𝑨𝒕</m:t>
                        </m:r>
                      </m:den>
                    </m:f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11DF08B1-D22F-4760-A964-AD4DBF4CEC1F}"/>
                </a:ext>
              </a:extLst>
            </xdr:cNvPr>
            <xdr:cNvSpPr txBox="1"/>
          </xdr:nvSpPr>
          <xdr:spPr>
            <a:xfrm>
              <a:off x="2876550" y="2305050"/>
              <a:ext cx="1733550" cy="331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𝒀=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1100" b="1" i="0">
                  <a:latin typeface="Cambria Math" panose="02040503050406030204" pitchFamily="18" charset="0"/>
                </a:rPr>
                <a:t>𝒃×𝒉×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1100" b="1" i="0">
                  <a:latin typeface="Cambria Math" panose="02040503050406030204" pitchFamily="18" charset="0"/>
                </a:rPr>
                <a:t>𝒉∕𝟐)+𝑨𝒕×𝒅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es-PE" sz="1100" b="1" i="0">
                  <a:latin typeface="Cambria Math" panose="02040503050406030204" pitchFamily="18" charset="0"/>
                </a:rPr>
                <a:t>𝒃×𝒉+𝑨𝒕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0</xdr:col>
      <xdr:colOff>247650</xdr:colOff>
      <xdr:row>123</xdr:row>
      <xdr:rowOff>152400</xdr:rowOff>
    </xdr:from>
    <xdr:ext cx="2533963" cy="4181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4A3E5C84-1476-4B29-AE96-C1AAF29C946E}"/>
                </a:ext>
              </a:extLst>
            </xdr:cNvPr>
            <xdr:cNvSpPr txBox="1"/>
          </xdr:nvSpPr>
          <xdr:spPr>
            <a:xfrm>
              <a:off x="2876550" y="2819400"/>
              <a:ext cx="2533963" cy="4181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1" i="1">
                        <a:latin typeface="Cambria Math" panose="02040503050406030204" pitchFamily="18" charset="0"/>
                      </a:rPr>
                      <m:t>𝑰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𝒃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⋅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𝒉</m:t>
                            </m:r>
                          </m:e>
                          <m:sup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𝟑</m:t>
                            </m:r>
                          </m:sup>
                        </m:sSup>
                      </m:num>
                      <m:den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𝟏𝟐</m:t>
                        </m:r>
                      </m:den>
                    </m:f>
                    <m:r>
                      <a:rPr lang="es-PE" sz="1100" b="1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𝒃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⋅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𝒉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PE" sz="1100" b="1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PE" sz="1100" b="1" i="1">
                                <a:latin typeface="Cambria Math" panose="02040503050406030204" pitchFamily="18" charset="0"/>
                              </a:rPr>
                              <m:t>𝒀</m:t>
                            </m:r>
                            <m:r>
                              <a:rPr lang="es-PE" sz="1100" b="1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s-PE" sz="1100" b="1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PE" sz="1100" b="1" i="1">
                                    <a:latin typeface="Cambria Math" panose="02040503050406030204" pitchFamily="18" charset="0"/>
                                  </a:rPr>
                                  <m:t>𝒉</m:t>
                                </m:r>
                              </m:num>
                              <m:den>
                                <m:r>
                                  <a:rPr lang="es-PE" sz="11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s-PE" sz="1100" b="1" i="0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d>
                      <m:d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𝒅</m:t>
                        </m:r>
                        <m:r>
                          <a:rPr lang="es-PE" sz="1100" b="1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𝒀</m:t>
                        </m:r>
                      </m:e>
                    </m:d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4A3E5C84-1476-4B29-AE96-C1AAF29C946E}"/>
                </a:ext>
              </a:extLst>
            </xdr:cNvPr>
            <xdr:cNvSpPr txBox="1"/>
          </xdr:nvSpPr>
          <xdr:spPr>
            <a:xfrm>
              <a:off x="2876550" y="2819400"/>
              <a:ext cx="2533963" cy="4181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𝑰=𝒃⋅𝒉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𝟑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PE" sz="1100" b="1" i="0">
                  <a:latin typeface="Cambria Math" panose="02040503050406030204" pitchFamily="18" charset="0"/>
                </a:rPr>
                <a:t>𝟏𝟐+𝒃⋅𝒉⋅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1100" b="1" i="0">
                  <a:latin typeface="Cambria Math" panose="02040503050406030204" pitchFamily="18" charset="0"/>
                </a:rPr>
                <a:t>𝒀−𝒉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PE" sz="1100" b="1" i="0">
                  <a:latin typeface="Cambria Math" panose="02040503050406030204" pitchFamily="18" charset="0"/>
                </a:rPr>
                <a:t>𝟐)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PE" sz="1100" b="1" i="0">
                  <a:latin typeface="Cambria Math" panose="02040503050406030204" pitchFamily="18" charset="0"/>
                </a:rPr>
                <a:t>𝟐+𝑨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PE" sz="1100" b="1" i="0">
                  <a:latin typeface="Cambria Math" panose="02040503050406030204" pitchFamily="18" charset="0"/>
                </a:rPr>
                <a:t>𝒕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s-PE" sz="1100" b="1" i="0">
                  <a:latin typeface="Cambria Math" panose="02040503050406030204" pitchFamily="18" charset="0"/>
                </a:rPr>
                <a:t>𝒅−</a:t>
              </a:r>
              <a:r>
                <a:rPr lang="es-ES" sz="1100" b="1" i="0">
                  <a:latin typeface="Cambria Math" panose="02040503050406030204" pitchFamily="18" charset="0"/>
                </a:rPr>
                <a:t>𝒀</a:t>
              </a:r>
              <a:r>
                <a:rPr lang="es-PE" sz="1100" b="1" i="0">
                  <a:latin typeface="Cambria Math" panose="02040503050406030204" pitchFamily="18" charset="0"/>
                </a:rPr>
                <a:t>)</a:t>
              </a:r>
              <a:endParaRPr lang="es-PE" sz="1100" b="1"/>
            </a:p>
          </xdr:txBody>
        </xdr:sp>
      </mc:Fallback>
    </mc:AlternateContent>
    <xdr:clientData/>
  </xdr:oneCellAnchor>
  <xdr:oneCellAnchor>
    <xdr:from>
      <xdr:col>4</xdr:col>
      <xdr:colOff>152400</xdr:colOff>
      <xdr:row>132</xdr:row>
      <xdr:rowOff>0</xdr:rowOff>
    </xdr:from>
    <xdr:ext cx="625428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BCFBF1BA-3E83-420B-B593-E662CBF99D52}"/>
                </a:ext>
              </a:extLst>
            </xdr:cNvPr>
            <xdr:cNvSpPr txBox="1"/>
          </xdr:nvSpPr>
          <xdr:spPr>
            <a:xfrm>
              <a:off x="5410200" y="4381500"/>
              <a:ext cx="625428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1" i="1">
                        <a:latin typeface="Cambria Math" panose="02040503050406030204" pitchFamily="18" charset="0"/>
                      </a:rPr>
                      <m:t>𝝈</m:t>
                    </m:r>
                    <m:r>
                      <a:rPr lang="es-PE" sz="1100" b="1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1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num>
                      <m:den>
                        <m:r>
                          <a:rPr lang="es-PE" sz="1100" b="1" i="1">
                            <a:latin typeface="Cambria Math" panose="02040503050406030204" pitchFamily="18" charset="0"/>
                          </a:rPr>
                          <m:t>𝑰</m:t>
                        </m:r>
                      </m:den>
                    </m:f>
                    <m:r>
                      <a:rPr lang="es-PE" sz="1100" b="1" i="0">
                        <a:latin typeface="Cambria Math" panose="02040503050406030204" pitchFamily="18" charset="0"/>
                      </a:rPr>
                      <m:t>⋅</m:t>
                    </m:r>
                    <m:r>
                      <a:rPr lang="es-PE" sz="1100" b="1" i="1">
                        <a:latin typeface="Cambria Math" panose="02040503050406030204" pitchFamily="18" charset="0"/>
                      </a:rPr>
                      <m:t>𝒀</m:t>
                    </m:r>
                  </m:oMath>
                </m:oMathPara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BCFBF1BA-3E83-420B-B593-E662CBF99D52}"/>
                </a:ext>
              </a:extLst>
            </xdr:cNvPr>
            <xdr:cNvSpPr txBox="1"/>
          </xdr:nvSpPr>
          <xdr:spPr>
            <a:xfrm>
              <a:off x="5410200" y="4381500"/>
              <a:ext cx="625428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 i="0">
                  <a:latin typeface="Cambria Math" panose="02040503050406030204" pitchFamily="18" charset="0"/>
                </a:rPr>
                <a:t>𝝈=𝑴</a:t>
              </a:r>
              <a:r>
                <a:rPr lang="es-PE" sz="1100" b="1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PE" sz="1100" b="1" i="0">
                  <a:latin typeface="Cambria Math" panose="02040503050406030204" pitchFamily="18" charset="0"/>
                </a:rPr>
                <a:t>𝑰⋅𝒀</a:t>
              </a:r>
              <a:endParaRPr lang="es-PE" sz="1100" b="1"/>
            </a:p>
          </xdr:txBody>
        </xdr:sp>
      </mc:Fallback>
    </mc:AlternateContent>
    <xdr:clientData/>
  </xdr:oneCellAnchor>
  <xdr:twoCellAnchor>
    <xdr:from>
      <xdr:col>4</xdr:col>
      <xdr:colOff>0</xdr:colOff>
      <xdr:row>3</xdr:row>
      <xdr:rowOff>195380</xdr:rowOff>
    </xdr:from>
    <xdr:to>
      <xdr:col>7</xdr:col>
      <xdr:colOff>561781</xdr:colOff>
      <xdr:row>9</xdr:row>
      <xdr:rowOff>160730</xdr:rowOff>
    </xdr:to>
    <xdr:grpSp>
      <xdr:nvGrpSpPr>
        <xdr:cNvPr id="106" name="Grupo 105">
          <a:extLst>
            <a:ext uri="{FF2B5EF4-FFF2-40B4-BE49-F238E27FC236}">
              <a16:creationId xmlns:a16="http://schemas.microsoft.com/office/drawing/2014/main" id="{2624AC24-EAD4-461F-95DB-4239A9B03FF9}"/>
            </a:ext>
          </a:extLst>
        </xdr:cNvPr>
        <xdr:cNvGrpSpPr/>
      </xdr:nvGrpSpPr>
      <xdr:grpSpPr>
        <a:xfrm>
          <a:off x="2588846" y="772009"/>
          <a:ext cx="2503416" cy="1147183"/>
          <a:chOff x="601266" y="16764206"/>
          <a:chExt cx="2367253" cy="1113028"/>
        </a:xfrm>
      </xdr:grpSpPr>
      <xdr:sp macro="" textlink="">
        <xdr:nvSpPr>
          <xdr:cNvPr id="107" name="Rectángulo 106">
            <a:extLst>
              <a:ext uri="{FF2B5EF4-FFF2-40B4-BE49-F238E27FC236}">
                <a16:creationId xmlns:a16="http://schemas.microsoft.com/office/drawing/2014/main" id="{7B34D7A9-5AC0-48BC-9411-ACAF318D6196}"/>
              </a:ext>
            </a:extLst>
          </xdr:cNvPr>
          <xdr:cNvSpPr/>
        </xdr:nvSpPr>
        <xdr:spPr>
          <a:xfrm>
            <a:off x="613172" y="16775906"/>
            <a:ext cx="1815703" cy="565547"/>
          </a:xfrm>
          <a:prstGeom prst="rect">
            <a:avLst/>
          </a:prstGeom>
          <a:solidFill>
            <a:schemeClr val="accent2">
              <a:alpha val="48000"/>
            </a:schemeClr>
          </a:solidFill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8" name="Rectángulo 107">
            <a:extLst>
              <a:ext uri="{FF2B5EF4-FFF2-40B4-BE49-F238E27FC236}">
                <a16:creationId xmlns:a16="http://schemas.microsoft.com/office/drawing/2014/main" id="{EDC1C08A-C753-4F35-85EC-E0DF255B7A69}"/>
              </a:ext>
            </a:extLst>
          </xdr:cNvPr>
          <xdr:cNvSpPr/>
        </xdr:nvSpPr>
        <xdr:spPr>
          <a:xfrm>
            <a:off x="616744" y="17345025"/>
            <a:ext cx="1812131" cy="371475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9" name="Rectángulo 108">
            <a:extLst>
              <a:ext uri="{FF2B5EF4-FFF2-40B4-BE49-F238E27FC236}">
                <a16:creationId xmlns:a16="http://schemas.microsoft.com/office/drawing/2014/main" id="{E19C65E5-F305-46D9-A773-BE528426878E}"/>
              </a:ext>
            </a:extLst>
          </xdr:cNvPr>
          <xdr:cNvSpPr/>
        </xdr:nvSpPr>
        <xdr:spPr>
          <a:xfrm>
            <a:off x="1371600" y="16773525"/>
            <a:ext cx="304800" cy="571500"/>
          </a:xfrm>
          <a:prstGeom prst="rect">
            <a:avLst/>
          </a:prstGeom>
          <a:solidFill>
            <a:schemeClr val="bg2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10" name="Grupo 109">
            <a:extLst>
              <a:ext uri="{FF2B5EF4-FFF2-40B4-BE49-F238E27FC236}">
                <a16:creationId xmlns:a16="http://schemas.microsoft.com/office/drawing/2014/main" id="{03BB0927-FAC4-47D2-9A01-BE7939A39D55}"/>
              </a:ext>
            </a:extLst>
          </xdr:cNvPr>
          <xdr:cNvGrpSpPr/>
        </xdr:nvGrpSpPr>
        <xdr:grpSpPr>
          <a:xfrm>
            <a:off x="753756" y="17554195"/>
            <a:ext cx="1494548" cy="72000"/>
            <a:chOff x="754856" y="17701472"/>
            <a:chExt cx="1496750" cy="72000"/>
          </a:xfrm>
        </xdr:grpSpPr>
        <xdr:sp macro="" textlink="">
          <xdr:nvSpPr>
            <xdr:cNvPr id="120" name="Elipse 119">
              <a:extLst>
                <a:ext uri="{FF2B5EF4-FFF2-40B4-BE49-F238E27FC236}">
                  <a16:creationId xmlns:a16="http://schemas.microsoft.com/office/drawing/2014/main" id="{6F7798EE-B51B-48A6-86F5-6B2196D9DE42}"/>
                </a:ext>
              </a:extLst>
            </xdr:cNvPr>
            <xdr:cNvSpPr/>
          </xdr:nvSpPr>
          <xdr:spPr>
            <a:xfrm>
              <a:off x="217960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1" name="Elipse 120">
              <a:extLst>
                <a:ext uri="{FF2B5EF4-FFF2-40B4-BE49-F238E27FC236}">
                  <a16:creationId xmlns:a16="http://schemas.microsoft.com/office/drawing/2014/main" id="{E1B01194-F4BC-4CE6-9B82-CE62DDEB9FAD}"/>
                </a:ext>
              </a:extLst>
            </xdr:cNvPr>
            <xdr:cNvSpPr/>
          </xdr:nvSpPr>
          <xdr:spPr>
            <a:xfrm>
              <a:off x="197607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2" name="Elipse 121">
              <a:extLst>
                <a:ext uri="{FF2B5EF4-FFF2-40B4-BE49-F238E27FC236}">
                  <a16:creationId xmlns:a16="http://schemas.microsoft.com/office/drawing/2014/main" id="{85BA7D89-3F36-4BE0-BE8E-63BF4DFD7BAF}"/>
                </a:ext>
              </a:extLst>
            </xdr:cNvPr>
            <xdr:cNvSpPr/>
          </xdr:nvSpPr>
          <xdr:spPr>
            <a:xfrm>
              <a:off x="177253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3" name="Elipse 122">
              <a:extLst>
                <a:ext uri="{FF2B5EF4-FFF2-40B4-BE49-F238E27FC236}">
                  <a16:creationId xmlns:a16="http://schemas.microsoft.com/office/drawing/2014/main" id="{239F4823-EECC-439F-AFF7-4EE3B33B823D}"/>
                </a:ext>
              </a:extLst>
            </xdr:cNvPr>
            <xdr:cNvSpPr/>
          </xdr:nvSpPr>
          <xdr:spPr>
            <a:xfrm>
              <a:off x="1569000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4" name="Elipse 123">
              <a:extLst>
                <a:ext uri="{FF2B5EF4-FFF2-40B4-BE49-F238E27FC236}">
                  <a16:creationId xmlns:a16="http://schemas.microsoft.com/office/drawing/2014/main" id="{BCC12512-C94B-4BC0-BBB5-4BFCB25FE7FB}"/>
                </a:ext>
              </a:extLst>
            </xdr:cNvPr>
            <xdr:cNvSpPr/>
          </xdr:nvSpPr>
          <xdr:spPr>
            <a:xfrm>
              <a:off x="1365464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5" name="Elipse 124">
              <a:extLst>
                <a:ext uri="{FF2B5EF4-FFF2-40B4-BE49-F238E27FC236}">
                  <a16:creationId xmlns:a16="http://schemas.microsoft.com/office/drawing/2014/main" id="{B843FCE8-8BD0-4B5B-AA59-91B1F1D25A36}"/>
                </a:ext>
              </a:extLst>
            </xdr:cNvPr>
            <xdr:cNvSpPr/>
          </xdr:nvSpPr>
          <xdr:spPr>
            <a:xfrm>
              <a:off x="1161928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6" name="Elipse 125">
              <a:extLst>
                <a:ext uri="{FF2B5EF4-FFF2-40B4-BE49-F238E27FC236}">
                  <a16:creationId xmlns:a16="http://schemas.microsoft.com/office/drawing/2014/main" id="{63CE62E5-C7EE-4CD8-9381-C9F332C9C665}"/>
                </a:ext>
              </a:extLst>
            </xdr:cNvPr>
            <xdr:cNvSpPr/>
          </xdr:nvSpPr>
          <xdr:spPr>
            <a:xfrm>
              <a:off x="958392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127" name="Elipse 126">
              <a:extLst>
                <a:ext uri="{FF2B5EF4-FFF2-40B4-BE49-F238E27FC236}">
                  <a16:creationId xmlns:a16="http://schemas.microsoft.com/office/drawing/2014/main" id="{F8FC456C-CB3E-4F78-A2E5-0B6D3C845C7C}"/>
                </a:ext>
              </a:extLst>
            </xdr:cNvPr>
            <xdr:cNvSpPr/>
          </xdr:nvSpPr>
          <xdr:spPr>
            <a:xfrm>
              <a:off x="754856" y="17701472"/>
              <a:ext cx="72000" cy="72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111" name="Abrir corchete 110">
            <a:extLst>
              <a:ext uri="{FF2B5EF4-FFF2-40B4-BE49-F238E27FC236}">
                <a16:creationId xmlns:a16="http://schemas.microsoft.com/office/drawing/2014/main" id="{C2EC2F8B-5D19-4ACE-A895-686545629960}"/>
              </a:ext>
            </a:extLst>
          </xdr:cNvPr>
          <xdr:cNvSpPr/>
        </xdr:nvSpPr>
        <xdr:spPr>
          <a:xfrm rot="16200000">
            <a:off x="1455566" y="16785711"/>
            <a:ext cx="120063" cy="1628656"/>
          </a:xfrm>
          <a:prstGeom prst="leftBracket">
            <a:avLst>
              <a:gd name="adj" fmla="val 63334"/>
            </a:avLst>
          </a:prstGeom>
          <a:ln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12" name="Grupo 111">
            <a:extLst>
              <a:ext uri="{FF2B5EF4-FFF2-40B4-BE49-F238E27FC236}">
                <a16:creationId xmlns:a16="http://schemas.microsoft.com/office/drawing/2014/main" id="{10F35998-4255-48AD-BBC8-5B4A50BEDD31}"/>
              </a:ext>
            </a:extLst>
          </xdr:cNvPr>
          <xdr:cNvGrpSpPr/>
        </xdr:nvGrpSpPr>
        <xdr:grpSpPr>
          <a:xfrm>
            <a:off x="601266" y="17740312"/>
            <a:ext cx="1833562" cy="136922"/>
            <a:chOff x="601266" y="17740312"/>
            <a:chExt cx="1833562" cy="136922"/>
          </a:xfrm>
        </xdr:grpSpPr>
        <xdr:cxnSp macro="">
          <xdr:nvCxnSpPr>
            <xdr:cNvPr id="117" name="Conector recto de flecha 116">
              <a:extLst>
                <a:ext uri="{FF2B5EF4-FFF2-40B4-BE49-F238E27FC236}">
                  <a16:creationId xmlns:a16="http://schemas.microsoft.com/office/drawing/2014/main" id="{DAE2BB6D-2C83-466B-948C-912D956CA7CD}"/>
                </a:ext>
              </a:extLst>
            </xdr:cNvPr>
            <xdr:cNvCxnSpPr/>
          </xdr:nvCxnSpPr>
          <xdr:spPr>
            <a:xfrm>
              <a:off x="601266" y="17811752"/>
              <a:ext cx="1833562" cy="0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8" name="Conector recto 117">
              <a:extLst>
                <a:ext uri="{FF2B5EF4-FFF2-40B4-BE49-F238E27FC236}">
                  <a16:creationId xmlns:a16="http://schemas.microsoft.com/office/drawing/2014/main" id="{E9FC5B0B-4D68-4882-8A71-7DF36F6C8EF4}"/>
                </a:ext>
              </a:extLst>
            </xdr:cNvPr>
            <xdr:cNvCxnSpPr/>
          </xdr:nvCxnSpPr>
          <xdr:spPr>
            <a:xfrm>
              <a:off x="2434828" y="17740312"/>
              <a:ext cx="0" cy="130969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Conector recto 118">
              <a:extLst>
                <a:ext uri="{FF2B5EF4-FFF2-40B4-BE49-F238E27FC236}">
                  <a16:creationId xmlns:a16="http://schemas.microsoft.com/office/drawing/2014/main" id="{A9091899-345B-4668-AAA2-361A6EE79600}"/>
                </a:ext>
              </a:extLst>
            </xdr:cNvPr>
            <xdr:cNvCxnSpPr/>
          </xdr:nvCxnSpPr>
          <xdr:spPr>
            <a:xfrm>
              <a:off x="607219" y="17740312"/>
              <a:ext cx="0" cy="1369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3" name="Grupo 112">
            <a:extLst>
              <a:ext uri="{FF2B5EF4-FFF2-40B4-BE49-F238E27FC236}">
                <a16:creationId xmlns:a16="http://schemas.microsoft.com/office/drawing/2014/main" id="{E31541B8-38D9-480B-B61D-A1D84A2BE011}"/>
              </a:ext>
            </a:extLst>
          </xdr:cNvPr>
          <xdr:cNvGrpSpPr/>
        </xdr:nvGrpSpPr>
        <xdr:grpSpPr>
          <a:xfrm>
            <a:off x="2393157" y="16764206"/>
            <a:ext cx="575362" cy="958247"/>
            <a:chOff x="2428875" y="16764206"/>
            <a:chExt cx="575362" cy="958247"/>
          </a:xfrm>
        </xdr:grpSpPr>
        <xdr:cxnSp macro="">
          <xdr:nvCxnSpPr>
            <xdr:cNvPr id="114" name="Conector recto 113">
              <a:extLst>
                <a:ext uri="{FF2B5EF4-FFF2-40B4-BE49-F238E27FC236}">
                  <a16:creationId xmlns:a16="http://schemas.microsoft.com/office/drawing/2014/main" id="{2890907E-89C8-4834-9A47-BD8D1985AE74}"/>
                </a:ext>
              </a:extLst>
            </xdr:cNvPr>
            <xdr:cNvCxnSpPr/>
          </xdr:nvCxnSpPr>
          <xdr:spPr>
            <a:xfrm>
              <a:off x="2428875" y="17341453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Conector recto 114">
              <a:extLst>
                <a:ext uri="{FF2B5EF4-FFF2-40B4-BE49-F238E27FC236}">
                  <a16:creationId xmlns:a16="http://schemas.microsoft.com/office/drawing/2014/main" id="{BC4E2207-838C-4714-B807-9B79F8B00E97}"/>
                </a:ext>
              </a:extLst>
            </xdr:cNvPr>
            <xdr:cNvCxnSpPr/>
          </xdr:nvCxnSpPr>
          <xdr:spPr>
            <a:xfrm>
              <a:off x="2428875" y="17716500"/>
              <a:ext cx="190500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Conector recto de flecha 115">
              <a:extLst>
                <a:ext uri="{FF2B5EF4-FFF2-40B4-BE49-F238E27FC236}">
                  <a16:creationId xmlns:a16="http://schemas.microsoft.com/office/drawing/2014/main" id="{9595081D-5A8C-411B-986F-43D8D7B1939C}"/>
                </a:ext>
              </a:extLst>
            </xdr:cNvPr>
            <xdr:cNvCxnSpPr/>
          </xdr:nvCxnSpPr>
          <xdr:spPr>
            <a:xfrm>
              <a:off x="2553890" y="17347406"/>
              <a:ext cx="0" cy="3750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Conector recto de flecha 127">
              <a:extLst>
                <a:ext uri="{FF2B5EF4-FFF2-40B4-BE49-F238E27FC236}">
                  <a16:creationId xmlns:a16="http://schemas.microsoft.com/office/drawing/2014/main" id="{6A8249AA-E58D-4205-82BF-3B8B4246013A}"/>
                </a:ext>
              </a:extLst>
            </xdr:cNvPr>
            <xdr:cNvCxnSpPr/>
          </xdr:nvCxnSpPr>
          <xdr:spPr>
            <a:xfrm>
              <a:off x="3004237" y="16764206"/>
              <a:ext cx="0" cy="958247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D766-9E44-4B85-BD59-0C21BEBE5BB4}">
  <dimension ref="B3:K109"/>
  <sheetViews>
    <sheetView showGridLines="0" tabSelected="1" view="pageLayout" zoomScaleNormal="106" workbookViewId="0">
      <selection activeCell="J4" sqref="J4"/>
    </sheetView>
  </sheetViews>
  <sheetFormatPr baseColWidth="10" defaultColWidth="9.140625" defaultRowHeight="15" x14ac:dyDescent="0.25"/>
  <sheetData>
    <row r="3" spans="2:11" x14ac:dyDescent="0.25">
      <c r="B3" s="1" t="s">
        <v>36</v>
      </c>
      <c r="C3" s="3">
        <f>C5+C6</f>
        <v>21</v>
      </c>
      <c r="D3" t="s">
        <v>37</v>
      </c>
    </row>
    <row r="4" spans="2:11" x14ac:dyDescent="0.25">
      <c r="B4" s="1" t="s">
        <v>2</v>
      </c>
      <c r="C4" s="3">
        <v>0.25</v>
      </c>
      <c r="D4" t="s">
        <v>8</v>
      </c>
      <c r="G4" s="2">
        <f>C4</f>
        <v>0.25</v>
      </c>
      <c r="H4" t="s">
        <v>8</v>
      </c>
    </row>
    <row r="5" spans="2:11" x14ac:dyDescent="0.25">
      <c r="B5" s="1" t="s">
        <v>1</v>
      </c>
      <c r="C5" s="3">
        <v>14</v>
      </c>
      <c r="D5" t="s">
        <v>9</v>
      </c>
    </row>
    <row r="6" spans="2:11" x14ac:dyDescent="0.25">
      <c r="B6" s="1" t="s">
        <v>0</v>
      </c>
      <c r="C6" s="3">
        <v>7</v>
      </c>
      <c r="D6" t="s">
        <v>9</v>
      </c>
      <c r="J6" s="10">
        <f>C8</f>
        <v>0.6</v>
      </c>
    </row>
    <row r="7" spans="2:11" x14ac:dyDescent="0.25">
      <c r="B7" s="1" t="s">
        <v>3</v>
      </c>
      <c r="C7" s="3">
        <v>20</v>
      </c>
      <c r="D7" t="s">
        <v>12</v>
      </c>
      <c r="J7" s="1" t="s">
        <v>8</v>
      </c>
    </row>
    <row r="8" spans="2:11" x14ac:dyDescent="0.25">
      <c r="B8" s="1" t="s">
        <v>4</v>
      </c>
      <c r="C8" s="3">
        <v>0.6</v>
      </c>
      <c r="D8" t="s">
        <v>8</v>
      </c>
      <c r="E8" t="s">
        <v>74</v>
      </c>
      <c r="I8" s="2">
        <f>C14</f>
        <v>0.4</v>
      </c>
    </row>
    <row r="9" spans="2:11" x14ac:dyDescent="0.25">
      <c r="B9" s="1" t="s">
        <v>5</v>
      </c>
      <c r="C9" s="4">
        <v>210</v>
      </c>
      <c r="D9" t="s">
        <v>11</v>
      </c>
      <c r="I9" s="1" t="s">
        <v>8</v>
      </c>
    </row>
    <row r="10" spans="2:11" x14ac:dyDescent="0.25">
      <c r="B10" s="1" t="s">
        <v>6</v>
      </c>
      <c r="C10" s="4">
        <v>4200</v>
      </c>
      <c r="D10" t="s">
        <v>11</v>
      </c>
    </row>
    <row r="11" spans="2:11" x14ac:dyDescent="0.25">
      <c r="B11" s="1" t="s">
        <v>7</v>
      </c>
      <c r="C11" s="3">
        <v>1.7</v>
      </c>
      <c r="D11" t="s">
        <v>10</v>
      </c>
      <c r="G11" s="2">
        <f>C32</f>
        <v>1.2000000000000002</v>
      </c>
      <c r="H11" t="s">
        <v>8</v>
      </c>
    </row>
    <row r="14" spans="2:11" x14ac:dyDescent="0.25">
      <c r="B14" s="1" t="s">
        <v>13</v>
      </c>
      <c r="C14" s="5">
        <v>0.4</v>
      </c>
      <c r="D14" t="s">
        <v>8</v>
      </c>
      <c r="E14" t="s">
        <v>16</v>
      </c>
      <c r="F14" s="5">
        <v>7</v>
      </c>
      <c r="G14" t="s">
        <v>14</v>
      </c>
    </row>
    <row r="15" spans="2:11" x14ac:dyDescent="0.25">
      <c r="B15" s="1"/>
      <c r="C15" s="1"/>
      <c r="F15" s="1"/>
    </row>
    <row r="16" spans="2:11" x14ac:dyDescent="0.25">
      <c r="B16" s="1" t="s">
        <v>17</v>
      </c>
      <c r="C16" s="5" t="s">
        <v>26</v>
      </c>
      <c r="F16" s="1"/>
      <c r="H16" s="22" t="s">
        <v>18</v>
      </c>
      <c r="I16" s="22" t="s">
        <v>19</v>
      </c>
      <c r="J16" s="22" t="s">
        <v>20</v>
      </c>
      <c r="K16" s="22" t="s">
        <v>78</v>
      </c>
    </row>
    <row r="17" spans="2:11" x14ac:dyDescent="0.25">
      <c r="H17" s="22">
        <v>1</v>
      </c>
      <c r="I17" s="22" t="s">
        <v>22</v>
      </c>
      <c r="J17" s="22">
        <v>0.28000000000000003</v>
      </c>
      <c r="K17" s="22">
        <v>0.6</v>
      </c>
    </row>
    <row r="18" spans="2:11" x14ac:dyDescent="0.25">
      <c r="B18" s="1" t="s">
        <v>15</v>
      </c>
      <c r="C18" s="7" t="str">
        <f>C14*100&amp;" - ( "&amp;F14&amp;" + "&amp;VLOOKUP(C16,I17:K25,3,0)&amp;" /2 )"</f>
        <v>40 - ( 7 + 1.27 /2 )</v>
      </c>
      <c r="H18" s="22">
        <v>2</v>
      </c>
      <c r="I18" s="22" t="s">
        <v>23</v>
      </c>
      <c r="J18" s="22">
        <v>0.5</v>
      </c>
      <c r="K18" s="22">
        <v>0.8</v>
      </c>
    </row>
    <row r="19" spans="2:11" x14ac:dyDescent="0.25">
      <c r="B19" s="1" t="s">
        <v>15</v>
      </c>
      <c r="C19" s="6">
        <f>C14*100-(F14+VLOOKUP(C16,I17:K25,3,0)/2)</f>
        <v>32.365000000000002</v>
      </c>
      <c r="D19" t="s">
        <v>14</v>
      </c>
      <c r="H19" s="22">
        <v>3</v>
      </c>
      <c r="I19" s="22" t="s">
        <v>24</v>
      </c>
      <c r="J19" s="22">
        <v>0.71</v>
      </c>
      <c r="K19" s="22">
        <v>0.95</v>
      </c>
    </row>
    <row r="20" spans="2:11" x14ac:dyDescent="0.25">
      <c r="H20" s="22"/>
      <c r="I20" s="22" t="s">
        <v>25</v>
      </c>
      <c r="J20" s="22">
        <v>1.1299999999999999</v>
      </c>
      <c r="K20" s="22">
        <v>1.2</v>
      </c>
    </row>
    <row r="21" spans="2:11" x14ac:dyDescent="0.25">
      <c r="B21" s="1" t="s">
        <v>15</v>
      </c>
      <c r="C21" s="7" t="str">
        <f>C14*100&amp;" - ( "&amp;F14&amp;" + "&amp;VLOOKUP(C16,I17:K25,3,0)&amp;" + "&amp;VLOOKUP(C16,I17:K25,3,0)&amp;" /2 )"</f>
        <v>40 - ( 7 + 1.27 + 1.27 /2 )</v>
      </c>
      <c r="H21" s="22">
        <v>4</v>
      </c>
      <c r="I21" s="22" t="s">
        <v>26</v>
      </c>
      <c r="J21" s="22">
        <v>1.29</v>
      </c>
      <c r="K21" s="22">
        <v>1.27</v>
      </c>
    </row>
    <row r="22" spans="2:11" x14ac:dyDescent="0.25">
      <c r="B22" s="1" t="s">
        <v>15</v>
      </c>
      <c r="C22" s="6">
        <f>C14*100-(F14+VLOOKUP(C16,I17:K25,3,0)+VLOOKUP(C16,I17:K25,3,0)/2)</f>
        <v>31.094999999999999</v>
      </c>
      <c r="D22" t="s">
        <v>14</v>
      </c>
      <c r="H22" s="22">
        <v>5</v>
      </c>
      <c r="I22" s="22" t="s">
        <v>27</v>
      </c>
      <c r="J22" s="22">
        <v>1.99</v>
      </c>
      <c r="K22" s="22">
        <v>1.59</v>
      </c>
    </row>
    <row r="23" spans="2:11" x14ac:dyDescent="0.25">
      <c r="H23" s="22">
        <v>6</v>
      </c>
      <c r="I23" s="22" t="s">
        <v>28</v>
      </c>
      <c r="J23" s="22">
        <v>2.84</v>
      </c>
      <c r="K23" s="22">
        <v>1.91</v>
      </c>
    </row>
    <row r="24" spans="2:11" x14ac:dyDescent="0.25">
      <c r="B24" s="9" t="s">
        <v>31</v>
      </c>
      <c r="H24" s="22">
        <v>8</v>
      </c>
      <c r="I24" s="22" t="s">
        <v>29</v>
      </c>
      <c r="J24" s="22">
        <v>5.0999999999999996</v>
      </c>
      <c r="K24" s="22">
        <v>2.54</v>
      </c>
    </row>
    <row r="25" spans="2:11" x14ac:dyDescent="0.25">
      <c r="H25" s="22">
        <v>11</v>
      </c>
      <c r="I25" s="22" t="s">
        <v>30</v>
      </c>
      <c r="J25" s="22">
        <v>9.58</v>
      </c>
      <c r="K25" s="22">
        <v>3.49</v>
      </c>
    </row>
    <row r="26" spans="2:11" x14ac:dyDescent="0.25">
      <c r="B26" s="1" t="s">
        <v>34</v>
      </c>
      <c r="C26" s="10" t="str">
        <f>C7&amp;" - "&amp;C11&amp;" x "&amp;C8&amp;" - 2.4 x "&amp;C14</f>
        <v>20 - 1.7 x 0.6 - 2.4 x 0.4</v>
      </c>
    </row>
    <row r="27" spans="2:11" x14ac:dyDescent="0.25">
      <c r="B27" s="1" t="s">
        <v>34</v>
      </c>
      <c r="C27" s="2">
        <f>C7-C11*C8-2.4*C14</f>
        <v>18.02</v>
      </c>
      <c r="D27" t="s">
        <v>32</v>
      </c>
    </row>
    <row r="29" spans="2:11" x14ac:dyDescent="0.25">
      <c r="B29" s="1" t="s">
        <v>33</v>
      </c>
      <c r="C29" s="1" t="s">
        <v>35</v>
      </c>
      <c r="E29" s="1" t="s">
        <v>41</v>
      </c>
      <c r="F29" s="1" t="s">
        <v>38</v>
      </c>
    </row>
    <row r="30" spans="2:11" x14ac:dyDescent="0.25">
      <c r="B30" s="1" t="s">
        <v>33</v>
      </c>
      <c r="C30" s="2" t="str">
        <f>C3&amp;" / "&amp;C27</f>
        <v>21 / 18.02</v>
      </c>
      <c r="E30" s="1" t="s">
        <v>41</v>
      </c>
      <c r="F30" s="10" t="str">
        <f>"(1.4x"&amp;C5&amp;"+1.7x"&amp;C6&amp;" )/ "&amp;ROUND(C32,2)</f>
        <v>(1.4x14+1.7x7 )/ 1.2</v>
      </c>
    </row>
    <row r="31" spans="2:11" x14ac:dyDescent="0.25">
      <c r="B31" s="1" t="s">
        <v>33</v>
      </c>
      <c r="C31" s="2">
        <f>C3/C27</f>
        <v>1.165371809100999</v>
      </c>
      <c r="D31" t="s">
        <v>8</v>
      </c>
      <c r="E31" s="1" t="s">
        <v>41</v>
      </c>
      <c r="F31" s="2">
        <f>(1.4*C5+1.7*C6)/C32</f>
        <v>26.249999999999996</v>
      </c>
      <c r="G31" t="s">
        <v>8</v>
      </c>
    </row>
    <row r="32" spans="2:11" x14ac:dyDescent="0.25">
      <c r="B32" s="1" t="s">
        <v>33</v>
      </c>
      <c r="C32" s="2">
        <f>CEILING(C3/C27,0.05)</f>
        <v>1.2000000000000002</v>
      </c>
      <c r="D32" t="s">
        <v>8</v>
      </c>
    </row>
    <row r="34" spans="2:5" x14ac:dyDescent="0.25">
      <c r="B34" s="9" t="s">
        <v>42</v>
      </c>
    </row>
    <row r="36" spans="2:5" x14ac:dyDescent="0.25">
      <c r="B36" s="1" t="s">
        <v>39</v>
      </c>
      <c r="C36" t="str">
        <f>"(("&amp;ROUND(C32,2)&amp;" - "&amp;C4&amp;" ) / 2 - "&amp;ROUND(C22/100,2)&amp;" ) x 1 x "&amp;ROUND(F31,2)</f>
        <v>((1.2 - 0.25 ) / 2 - 0.31 ) x 1 x 26.25</v>
      </c>
    </row>
    <row r="37" spans="2:5" x14ac:dyDescent="0.25">
      <c r="B37" s="1" t="s">
        <v>39</v>
      </c>
      <c r="C37" s="2">
        <f>((C32-C4)/2-C22/100)*1*F31</f>
        <v>4.3063125000000015</v>
      </c>
      <c r="D37" t="s">
        <v>40</v>
      </c>
      <c r="E37" t="s">
        <v>84</v>
      </c>
    </row>
    <row r="39" spans="2:5" x14ac:dyDescent="0.25">
      <c r="B39" s="1"/>
    </row>
    <row r="40" spans="2:5" x14ac:dyDescent="0.25">
      <c r="B40" s="1" t="s">
        <v>43</v>
      </c>
      <c r="C40" s="8" t="str">
        <f>"0.53 x RAIZ("&amp;C9&amp;") x 10 x 1 x "&amp;ROUND(C22/100,2)</f>
        <v>0.53 x RAIZ(210) x 10 x 1 x 0.31</v>
      </c>
    </row>
    <row r="41" spans="2:5" x14ac:dyDescent="0.25">
      <c r="B41" s="1" t="s">
        <v>43</v>
      </c>
      <c r="C41" s="2">
        <f>0.53*SQRT(C9)*10*1*C22/100</f>
        <v>23.882296075906311</v>
      </c>
      <c r="D41" t="s">
        <v>40</v>
      </c>
      <c r="E41" t="s">
        <v>85</v>
      </c>
    </row>
    <row r="43" spans="2:5" x14ac:dyDescent="0.25">
      <c r="B43" s="1" t="s">
        <v>44</v>
      </c>
      <c r="C43" t="str">
        <f>"0.85 x "&amp;ROUND(C41,2)</f>
        <v>0.85 x 23.88</v>
      </c>
    </row>
    <row r="44" spans="2:5" x14ac:dyDescent="0.25">
      <c r="B44" s="1" t="s">
        <v>44</v>
      </c>
      <c r="C44" s="2">
        <f>0.85*C41</f>
        <v>20.299951664520364</v>
      </c>
      <c r="D44" t="s">
        <v>40</v>
      </c>
    </row>
    <row r="46" spans="2:5" x14ac:dyDescent="0.25">
      <c r="C46" s="11" t="str">
        <f>IF(C44&gt;C37,"ØVc &gt;  Vu … OK ¡","ØVc &lt;  Vu … ERROR ¡")</f>
        <v>ØVc &gt;  Vu … OK ¡</v>
      </c>
    </row>
    <row r="48" spans="2:5" x14ac:dyDescent="0.25">
      <c r="B48" s="12" t="s">
        <v>45</v>
      </c>
    </row>
    <row r="50" spans="2:4" x14ac:dyDescent="0.25">
      <c r="B50" s="1" t="s">
        <v>46</v>
      </c>
      <c r="C50" t="str">
        <f>ROUND(F31,2)&amp;" x (("&amp;ROUND(C32,2)&amp;" - "&amp;C4&amp;") / 2)^2 /2"</f>
        <v>26.25 x ((1.2 - 0.25) / 2)^2 /2</v>
      </c>
    </row>
    <row r="51" spans="2:4" x14ac:dyDescent="0.25">
      <c r="B51" s="1" t="s">
        <v>46</v>
      </c>
      <c r="C51" s="2">
        <f>F31*((C32-C4)/2)^2 /2</f>
        <v>2.9613281250000005</v>
      </c>
      <c r="D51" t="s">
        <v>47</v>
      </c>
    </row>
    <row r="53" spans="2:4" x14ac:dyDescent="0.25">
      <c r="B53" s="12" t="s">
        <v>48</v>
      </c>
    </row>
    <row r="55" spans="2:4" x14ac:dyDescent="0.25">
      <c r="B55" s="1" t="s">
        <v>49</v>
      </c>
      <c r="C55" s="10" t="str">
        <f>ROUND(C51,2)&amp;" x "&amp;10^5&amp;" / ( 3402 x "&amp;ROUND(C19,2)&amp;" )"</f>
        <v>2.96 x 100000 / ( 3402 x 32.37 )</v>
      </c>
    </row>
    <row r="56" spans="2:4" x14ac:dyDescent="0.25">
      <c r="B56" s="1" t="s">
        <v>49</v>
      </c>
      <c r="C56" s="2">
        <f>C51*10^5/(3402*C19)</f>
        <v>2.6895313486409838</v>
      </c>
      <c r="D56" t="s">
        <v>50</v>
      </c>
    </row>
    <row r="58" spans="2:4" x14ac:dyDescent="0.25">
      <c r="B58" s="1" t="s">
        <v>51</v>
      </c>
      <c r="C58" t="s">
        <v>52</v>
      </c>
    </row>
    <row r="59" spans="2:4" x14ac:dyDescent="0.25">
      <c r="B59" s="1" t="s">
        <v>51</v>
      </c>
      <c r="C59" s="10" t="str">
        <f>0.0024&amp;" x "&amp;100&amp;" x "&amp;ROUND(C19,2)</f>
        <v>0.0024 x 100 x 32.37</v>
      </c>
    </row>
    <row r="60" spans="2:4" x14ac:dyDescent="0.25">
      <c r="B60" s="1" t="s">
        <v>51</v>
      </c>
      <c r="C60" s="2">
        <f>0.0024*100*C19</f>
        <v>7.7675999999999998</v>
      </c>
      <c r="D60" t="s">
        <v>50</v>
      </c>
    </row>
    <row r="62" spans="2:4" x14ac:dyDescent="0.25">
      <c r="B62" s="1" t="s">
        <v>54</v>
      </c>
      <c r="C62" s="2">
        <f>IF(C56&lt;C60,C60,C56)</f>
        <v>7.7675999999999998</v>
      </c>
      <c r="D62" t="s">
        <v>50</v>
      </c>
    </row>
    <row r="64" spans="2:4" x14ac:dyDescent="0.25">
      <c r="B64" t="s">
        <v>55</v>
      </c>
      <c r="C64" s="13" t="s">
        <v>26</v>
      </c>
    </row>
    <row r="65" spans="2:8" x14ac:dyDescent="0.25">
      <c r="B65" s="1" t="s">
        <v>53</v>
      </c>
      <c r="C65" s="8" t="str">
        <f>ROUND(C62,2)&amp;"/"&amp;VLOOKUP(C64,$I$17:$K$25,2,0)</f>
        <v>7.77/1.29</v>
      </c>
      <c r="D65" s="14">
        <f>ROUND(C62/VLOOKUP(C64,$I$17:$K$25,3,0),0)</f>
        <v>6</v>
      </c>
    </row>
    <row r="66" spans="2:8" x14ac:dyDescent="0.25">
      <c r="B66" s="1" t="s">
        <v>56</v>
      </c>
      <c r="C66" s="1" t="str">
        <f>1&amp;" / "&amp;(D65)</f>
        <v>1 / 6</v>
      </c>
      <c r="D66" s="2">
        <f>ROUNDDOWN(1/D65,2)</f>
        <v>0.16</v>
      </c>
      <c r="E66" t="s">
        <v>8</v>
      </c>
    </row>
    <row r="68" spans="2:8" x14ac:dyDescent="0.25">
      <c r="B68" s="16"/>
      <c r="C68" s="17" t="str">
        <f>"Ø "&amp;C64&amp;" @ "&amp;FLOOR(D66,0.05)&amp;" m"</f>
        <v>Ø 1/2 " @ 0.15 m</v>
      </c>
      <c r="D68" s="16"/>
    </row>
    <row r="70" spans="2:8" x14ac:dyDescent="0.25">
      <c r="B70" s="12" t="s">
        <v>57</v>
      </c>
    </row>
    <row r="72" spans="2:8" x14ac:dyDescent="0.25">
      <c r="B72" s="1" t="s">
        <v>58</v>
      </c>
      <c r="C72" t="s">
        <v>59</v>
      </c>
    </row>
    <row r="73" spans="2:8" x14ac:dyDescent="0.25">
      <c r="B73" s="1" t="s">
        <v>58</v>
      </c>
      <c r="C73" s="10" t="str">
        <f>"0.0018 x "&amp;ROUND(C32,2)&amp;" x "&amp;C14*100</f>
        <v>0.0018 x 1.2 x 40</v>
      </c>
    </row>
    <row r="74" spans="2:8" x14ac:dyDescent="0.25">
      <c r="B74" s="1" t="s">
        <v>58</v>
      </c>
      <c r="C74" s="2">
        <f>0.0018*C32*100*C14*100</f>
        <v>8.6400000000000041</v>
      </c>
    </row>
    <row r="76" spans="2:8" x14ac:dyDescent="0.25">
      <c r="B76" s="1" t="s">
        <v>54</v>
      </c>
      <c r="C76" s="2">
        <f>IF(C70&lt;C74,C74,C70)</f>
        <v>8.6400000000000041</v>
      </c>
      <c r="D76" t="s">
        <v>50</v>
      </c>
    </row>
    <row r="78" spans="2:8" x14ac:dyDescent="0.25">
      <c r="B78" t="s">
        <v>55</v>
      </c>
      <c r="C78" s="13" t="s">
        <v>26</v>
      </c>
      <c r="F78" t="s">
        <v>60</v>
      </c>
      <c r="G78" s="5">
        <v>7</v>
      </c>
      <c r="H78" t="s">
        <v>14</v>
      </c>
    </row>
    <row r="79" spans="2:8" x14ac:dyDescent="0.25">
      <c r="B79" s="1" t="s">
        <v>53</v>
      </c>
      <c r="C79" s="8" t="str">
        <f>ROUND(C76,2)&amp;"/"&amp;VLOOKUP(C78,$I$17:$K$25,2,0)</f>
        <v>8.64/1.29</v>
      </c>
      <c r="D79" s="14">
        <f>ROUND(C76/VLOOKUP(C78,$I$17:$K$25,3,0),0)</f>
        <v>7</v>
      </c>
    </row>
    <row r="80" spans="2:8" x14ac:dyDescent="0.25">
      <c r="B80" s="1" t="s">
        <v>56</v>
      </c>
      <c r="C80" s="8" t="str">
        <f>"( "&amp;ROUND(C32*100,0)&amp;" - 2 x "&amp;G78&amp;" ) / "&amp;D79</f>
        <v>( 120 - 2 x 7 ) / 7</v>
      </c>
      <c r="G80" s="1" t="s">
        <v>64</v>
      </c>
    </row>
    <row r="81" spans="2:8" x14ac:dyDescent="0.25">
      <c r="B81" s="1" t="s">
        <v>56</v>
      </c>
      <c r="C81" s="2">
        <f>(C32*100-2*G78)/D79</f>
        <v>15.142857142857144</v>
      </c>
      <c r="D81" t="s">
        <v>14</v>
      </c>
      <c r="F81" s="1" t="s">
        <v>61</v>
      </c>
      <c r="G81">
        <f>5*C14</f>
        <v>2</v>
      </c>
      <c r="H81" t="s">
        <v>62</v>
      </c>
    </row>
    <row r="82" spans="2:8" x14ac:dyDescent="0.25">
      <c r="B82" s="1" t="s">
        <v>56</v>
      </c>
      <c r="C82" s="2">
        <f>ROUND(C81/100,2)</f>
        <v>0.15</v>
      </c>
      <c r="D82" t="s">
        <v>8</v>
      </c>
      <c r="E82" s="11" t="str">
        <f>IF(AND(C82&lt;=5*C14,C82&lt;=0.45),"Cumple","NO cumple")</f>
        <v>Cumple</v>
      </c>
      <c r="F82" s="1" t="s">
        <v>61</v>
      </c>
      <c r="G82">
        <f>0.45</f>
        <v>0.45</v>
      </c>
      <c r="H82" t="s">
        <v>63</v>
      </c>
    </row>
    <row r="83" spans="2:8" x14ac:dyDescent="0.25">
      <c r="B83" s="1"/>
      <c r="C83" s="2"/>
    </row>
    <row r="84" spans="2:8" x14ac:dyDescent="0.25">
      <c r="B84" s="16"/>
      <c r="C84" s="17" t="str">
        <f>"Ø "&amp;C78&amp;" @ "&amp;FLOOR(C82,0.05)&amp;" m"</f>
        <v>Ø 1/2 " @ 0.15 m</v>
      </c>
      <c r="D84" s="16"/>
    </row>
    <row r="86" spans="2:8" ht="42" customHeight="1" x14ac:dyDescent="0.25"/>
    <row r="87" spans="2:8" ht="81" customHeight="1" x14ac:dyDescent="0.25"/>
    <row r="91" spans="2:8" x14ac:dyDescent="0.25">
      <c r="E91" s="18">
        <f>C14</f>
        <v>0.4</v>
      </c>
      <c r="F91" t="s">
        <v>8</v>
      </c>
    </row>
    <row r="94" spans="2:8" x14ac:dyDescent="0.25">
      <c r="C94" s="2">
        <f>C32</f>
        <v>1.2000000000000002</v>
      </c>
      <c r="D94" t="s">
        <v>8</v>
      </c>
    </row>
    <row r="97" spans="3:6" x14ac:dyDescent="0.25">
      <c r="F97" s="15"/>
    </row>
    <row r="98" spans="3:6" x14ac:dyDescent="0.25">
      <c r="F98" s="15" t="str">
        <f>C84</f>
        <v>Ø 1/2 " @ 0.15 m</v>
      </c>
    </row>
    <row r="102" spans="3:6" x14ac:dyDescent="0.25">
      <c r="F102" s="15" t="str">
        <f>C68</f>
        <v>Ø 1/2 " @ 0.15 m</v>
      </c>
    </row>
    <row r="105" spans="3:6" x14ac:dyDescent="0.25">
      <c r="F105" t="s">
        <v>65</v>
      </c>
    </row>
    <row r="109" spans="3:6" x14ac:dyDescent="0.25">
      <c r="C109" s="2">
        <f>C94</f>
        <v>1.2000000000000002</v>
      </c>
      <c r="D109" t="s">
        <v>8</v>
      </c>
    </row>
  </sheetData>
  <dataValidations disablePrompts="1" count="1">
    <dataValidation type="list" allowBlank="1" showInputMessage="1" showErrorMessage="1" sqref="C16 C64 C78" xr:uid="{AEA8C580-39EE-4273-836A-B3A27D7A8D5B}">
      <formula1>$I$19:$I$25</formula1>
    </dataValidation>
  </dataValidations>
  <pageMargins left="0.25" right="0.25" top="0.75" bottom="0.75" header="0.3" footer="0.3"/>
  <pageSetup orientation="portrait" horizontalDpi="4294967293" r:id="rId1"/>
  <headerFooter>
    <oddHeader>&amp;C&amp;"-,Negrita Cursiva"&amp;16Zapata Cimiento Continuo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2A4B-1A1B-41DD-865A-DDB0680E9F6D}">
  <dimension ref="B3:K110"/>
  <sheetViews>
    <sheetView zoomScale="106" zoomScaleNormal="106" workbookViewId="0">
      <selection activeCell="C4" sqref="C4"/>
    </sheetView>
  </sheetViews>
  <sheetFormatPr baseColWidth="10" defaultColWidth="9.140625" defaultRowHeight="15" x14ac:dyDescent="0.25"/>
  <sheetData>
    <row r="3" spans="2:11" x14ac:dyDescent="0.25">
      <c r="B3" s="1" t="s">
        <v>36</v>
      </c>
      <c r="C3" s="5">
        <v>18</v>
      </c>
      <c r="D3" t="s">
        <v>37</v>
      </c>
    </row>
    <row r="4" spans="2:11" x14ac:dyDescent="0.25">
      <c r="B4" s="1" t="s">
        <v>2</v>
      </c>
      <c r="C4" s="3">
        <v>0.15</v>
      </c>
      <c r="D4" t="s">
        <v>8</v>
      </c>
      <c r="G4" s="2">
        <f>C4</f>
        <v>0.15</v>
      </c>
      <c r="H4" t="s">
        <v>8</v>
      </c>
    </row>
    <row r="5" spans="2:11" x14ac:dyDescent="0.25">
      <c r="B5" s="1" t="s">
        <v>1</v>
      </c>
      <c r="C5" s="3">
        <v>5</v>
      </c>
      <c r="D5" t="s">
        <v>9</v>
      </c>
    </row>
    <row r="6" spans="2:11" x14ac:dyDescent="0.25">
      <c r="B6" s="1" t="s">
        <v>0</v>
      </c>
      <c r="C6" s="3">
        <v>2</v>
      </c>
      <c r="D6" t="s">
        <v>9</v>
      </c>
      <c r="J6" s="10">
        <f>C8</f>
        <v>0.6</v>
      </c>
    </row>
    <row r="7" spans="2:11" x14ac:dyDescent="0.25">
      <c r="B7" s="1" t="s">
        <v>3</v>
      </c>
      <c r="C7" s="3">
        <v>16</v>
      </c>
      <c r="D7" t="s">
        <v>12</v>
      </c>
      <c r="J7" s="1" t="s">
        <v>8</v>
      </c>
    </row>
    <row r="8" spans="2:11" x14ac:dyDescent="0.25">
      <c r="B8" s="1" t="s">
        <v>4</v>
      </c>
      <c r="C8" s="3">
        <v>0.6</v>
      </c>
      <c r="D8" t="s">
        <v>8</v>
      </c>
      <c r="E8" t="s">
        <v>74</v>
      </c>
      <c r="I8" s="2">
        <f>C14</f>
        <v>0.4</v>
      </c>
    </row>
    <row r="9" spans="2:11" x14ac:dyDescent="0.25">
      <c r="B9" s="1" t="s">
        <v>5</v>
      </c>
      <c r="C9" s="4">
        <v>210</v>
      </c>
      <c r="D9" t="s">
        <v>11</v>
      </c>
      <c r="I9" s="1" t="s">
        <v>8</v>
      </c>
    </row>
    <row r="10" spans="2:11" x14ac:dyDescent="0.25">
      <c r="B10" s="1" t="s">
        <v>6</v>
      </c>
      <c r="C10" s="4">
        <v>4200</v>
      </c>
      <c r="D10" t="s">
        <v>11</v>
      </c>
    </row>
    <row r="11" spans="2:11" x14ac:dyDescent="0.25">
      <c r="B11" s="1" t="s">
        <v>7</v>
      </c>
      <c r="C11" s="3">
        <v>1.6</v>
      </c>
      <c r="D11" t="s">
        <v>10</v>
      </c>
      <c r="G11" s="2">
        <f>C32</f>
        <v>1.3</v>
      </c>
      <c r="H11" t="s">
        <v>8</v>
      </c>
    </row>
    <row r="14" spans="2:11" x14ac:dyDescent="0.25">
      <c r="B14" s="1" t="s">
        <v>13</v>
      </c>
      <c r="C14" s="5">
        <v>0.4</v>
      </c>
      <c r="D14" t="s">
        <v>8</v>
      </c>
      <c r="E14" t="s">
        <v>16</v>
      </c>
      <c r="F14" s="5">
        <v>7</v>
      </c>
      <c r="G14" t="s">
        <v>14</v>
      </c>
    </row>
    <row r="15" spans="2:11" x14ac:dyDescent="0.25">
      <c r="B15" s="1"/>
      <c r="C15" s="1"/>
      <c r="F15" s="1"/>
    </row>
    <row r="16" spans="2:11" x14ac:dyDescent="0.25">
      <c r="B16" s="1" t="s">
        <v>17</v>
      </c>
      <c r="C16" s="5" t="s">
        <v>26</v>
      </c>
      <c r="F16" s="1"/>
      <c r="H16" s="1" t="s">
        <v>18</v>
      </c>
      <c r="I16" s="1" t="s">
        <v>19</v>
      </c>
      <c r="J16" s="1" t="s">
        <v>20</v>
      </c>
      <c r="K16" s="1" t="s">
        <v>21</v>
      </c>
    </row>
    <row r="17" spans="2:11" x14ac:dyDescent="0.25">
      <c r="H17" s="1">
        <v>1</v>
      </c>
      <c r="I17" s="1" t="s">
        <v>22</v>
      </c>
      <c r="J17" s="1">
        <v>0.28000000000000003</v>
      </c>
      <c r="K17" s="1">
        <v>0.6</v>
      </c>
    </row>
    <row r="18" spans="2:11" x14ac:dyDescent="0.25">
      <c r="B18" s="1" t="s">
        <v>15</v>
      </c>
      <c r="C18" s="7" t="str">
        <f>C14*100&amp;" - ( "&amp;F14&amp;" + "&amp;VLOOKUP(C16,I17:K25,3,0)&amp;" /2 )"</f>
        <v>40 - ( 7 + 1.27 /2 )</v>
      </c>
      <c r="H18" s="1">
        <v>2</v>
      </c>
      <c r="I18" s="1" t="s">
        <v>23</v>
      </c>
      <c r="J18" s="1">
        <v>0.5</v>
      </c>
      <c r="K18" s="1">
        <v>0.8</v>
      </c>
    </row>
    <row r="19" spans="2:11" x14ac:dyDescent="0.25">
      <c r="B19" s="1" t="s">
        <v>15</v>
      </c>
      <c r="C19" s="6">
        <f>C14*100-(F14+VLOOKUP(C16,I17:K25,3,0)/2)</f>
        <v>32.365000000000002</v>
      </c>
      <c r="D19" t="s">
        <v>14</v>
      </c>
      <c r="H19" s="1">
        <v>3</v>
      </c>
      <c r="I19" s="1" t="s">
        <v>24</v>
      </c>
      <c r="J19" s="1">
        <v>0.71</v>
      </c>
      <c r="K19" s="1">
        <v>0.95</v>
      </c>
    </row>
    <row r="20" spans="2:11" x14ac:dyDescent="0.25">
      <c r="H20" s="1"/>
      <c r="I20" s="1" t="s">
        <v>25</v>
      </c>
      <c r="J20" s="1">
        <v>1.1299999999999999</v>
      </c>
      <c r="K20" s="1">
        <v>1.2</v>
      </c>
    </row>
    <row r="21" spans="2:11" x14ac:dyDescent="0.25">
      <c r="B21" s="1" t="s">
        <v>15</v>
      </c>
      <c r="C21" s="7" t="str">
        <f>C14*100&amp;" - ( "&amp;F14&amp;" + "&amp;VLOOKUP(C16,I17:K25,3,0)&amp;" + "&amp;VLOOKUP(C16,I17:K25,3,0)&amp;" /2 )"</f>
        <v>40 - ( 7 + 1.27 + 1.27 /2 )</v>
      </c>
      <c r="H21" s="1">
        <v>4</v>
      </c>
      <c r="I21" s="1" t="s">
        <v>26</v>
      </c>
      <c r="J21" s="1">
        <v>1.29</v>
      </c>
      <c r="K21" s="1">
        <v>1.27</v>
      </c>
    </row>
    <row r="22" spans="2:11" x14ac:dyDescent="0.25">
      <c r="B22" s="1" t="s">
        <v>15</v>
      </c>
      <c r="C22" s="6">
        <f>C14*100-(F14+VLOOKUP(C16,I17:K25,3,0)+VLOOKUP(C16,I17:K25,3,0)/2)</f>
        <v>31.094999999999999</v>
      </c>
      <c r="D22" t="s">
        <v>14</v>
      </c>
      <c r="H22" s="1">
        <v>5</v>
      </c>
      <c r="I22" s="1" t="s">
        <v>27</v>
      </c>
      <c r="J22" s="1">
        <v>1.99</v>
      </c>
      <c r="K22" s="1">
        <v>1.59</v>
      </c>
    </row>
    <row r="23" spans="2:11" x14ac:dyDescent="0.25">
      <c r="H23" s="1">
        <v>6</v>
      </c>
      <c r="I23" s="1" t="s">
        <v>28</v>
      </c>
      <c r="J23" s="1">
        <v>2.84</v>
      </c>
      <c r="K23" s="1">
        <v>1.91</v>
      </c>
    </row>
    <row r="24" spans="2:11" x14ac:dyDescent="0.25">
      <c r="B24" s="9" t="s">
        <v>31</v>
      </c>
      <c r="H24" s="1">
        <v>8</v>
      </c>
      <c r="I24" s="1" t="s">
        <v>29</v>
      </c>
      <c r="J24" s="1">
        <v>5.0999999999999996</v>
      </c>
      <c r="K24" s="1">
        <v>2.54</v>
      </c>
    </row>
    <row r="25" spans="2:11" x14ac:dyDescent="0.25">
      <c r="H25" s="1">
        <v>11</v>
      </c>
      <c r="I25" s="1" t="s">
        <v>30</v>
      </c>
      <c r="J25" s="1">
        <v>9.58</v>
      </c>
      <c r="K25" s="1">
        <v>3.49</v>
      </c>
    </row>
    <row r="26" spans="2:11" x14ac:dyDescent="0.25">
      <c r="B26" s="1" t="s">
        <v>34</v>
      </c>
      <c r="C26" s="10" t="str">
        <f>C7&amp;" - "&amp;C11&amp;" x "&amp;C8&amp;" - 2.4 x "&amp;C14</f>
        <v>16 - 1.6 x 0.6 - 2.4 x 0.4</v>
      </c>
    </row>
    <row r="27" spans="2:11" x14ac:dyDescent="0.25">
      <c r="B27" s="1" t="s">
        <v>34</v>
      </c>
      <c r="C27" s="2">
        <f>C7-C11*C8-2.4*C14</f>
        <v>14.079999999999998</v>
      </c>
      <c r="D27" t="s">
        <v>32</v>
      </c>
    </row>
    <row r="29" spans="2:11" x14ac:dyDescent="0.25">
      <c r="B29" s="1" t="s">
        <v>33</v>
      </c>
      <c r="C29" s="1" t="s">
        <v>35</v>
      </c>
      <c r="E29" s="1" t="s">
        <v>41</v>
      </c>
      <c r="F29" s="1" t="s">
        <v>38</v>
      </c>
    </row>
    <row r="30" spans="2:11" x14ac:dyDescent="0.25">
      <c r="B30" s="1" t="s">
        <v>33</v>
      </c>
      <c r="C30" s="2" t="str">
        <f>C3&amp;" / "&amp;C27</f>
        <v>18 / 14.08</v>
      </c>
      <c r="E30" s="1" t="s">
        <v>41</v>
      </c>
      <c r="F30" s="10" t="str">
        <f>C3&amp;" x 1.55 / "&amp;ROUND(C32,2)</f>
        <v>18 x 1.55 / 1.3</v>
      </c>
    </row>
    <row r="31" spans="2:11" x14ac:dyDescent="0.25">
      <c r="B31" s="1" t="s">
        <v>33</v>
      </c>
      <c r="C31" s="2">
        <f>C3/C27</f>
        <v>1.2784090909090911</v>
      </c>
      <c r="D31" t="s">
        <v>8</v>
      </c>
      <c r="E31" s="1" t="s">
        <v>41</v>
      </c>
      <c r="F31" s="2">
        <f>C3*1.55/C32</f>
        <v>21.461538461538463</v>
      </c>
      <c r="G31" t="s">
        <v>8</v>
      </c>
    </row>
    <row r="32" spans="2:11" x14ac:dyDescent="0.25">
      <c r="B32" s="1" t="s">
        <v>33</v>
      </c>
      <c r="C32" s="2">
        <f>MROUND(C3/C27,0.05)</f>
        <v>1.3</v>
      </c>
      <c r="D32" t="s">
        <v>8</v>
      </c>
    </row>
    <row r="34" spans="2:5" x14ac:dyDescent="0.25">
      <c r="B34" s="9" t="s">
        <v>42</v>
      </c>
    </row>
    <row r="36" spans="2:5" x14ac:dyDescent="0.25">
      <c r="B36" s="1" t="s">
        <v>39</v>
      </c>
      <c r="C36" t="str">
        <f>"(("&amp;ROUND(C32,2)&amp;" - "&amp;C4&amp;" ) / 2 - "&amp;ROUND(C22/100,2)&amp;" ) x 1 x "&amp;ROUND(F31,2)</f>
        <v>((1.3 - 0.15 ) / 2 - 0.31 ) x 1 x 21.46</v>
      </c>
    </row>
    <row r="37" spans="2:5" x14ac:dyDescent="0.25">
      <c r="B37" s="1" t="s">
        <v>39</v>
      </c>
      <c r="C37" s="2">
        <f>((C32-C4)/2-C22/100)*1*F31</f>
        <v>5.6669192307692322</v>
      </c>
      <c r="D37" t="s">
        <v>40</v>
      </c>
      <c r="E37" t="s">
        <v>84</v>
      </c>
    </row>
    <row r="39" spans="2:5" x14ac:dyDescent="0.25">
      <c r="B39" s="1"/>
    </row>
    <row r="40" spans="2:5" x14ac:dyDescent="0.25">
      <c r="B40" s="1" t="s">
        <v>43</v>
      </c>
      <c r="C40" s="8" t="str">
        <f>"0.53 x RAIZ("&amp;C9&amp;") x 10 x 1 x "&amp;ROUND(C22/100,2)</f>
        <v>0.53 x RAIZ(210) x 10 x 1 x 0.31</v>
      </c>
    </row>
    <row r="41" spans="2:5" x14ac:dyDescent="0.25">
      <c r="B41" s="1" t="s">
        <v>43</v>
      </c>
      <c r="C41" s="2">
        <f>0.53*SQRT(C9)*10*1*C22/100</f>
        <v>23.882296075906311</v>
      </c>
      <c r="D41" t="s">
        <v>40</v>
      </c>
      <c r="E41" t="s">
        <v>85</v>
      </c>
    </row>
    <row r="43" spans="2:5" x14ac:dyDescent="0.25">
      <c r="B43" s="1" t="s">
        <v>44</v>
      </c>
      <c r="C43" t="str">
        <f>"0.85 x "&amp;ROUND(C41,2)</f>
        <v>0.85 x 23.88</v>
      </c>
    </row>
    <row r="44" spans="2:5" x14ac:dyDescent="0.25">
      <c r="B44" s="1" t="s">
        <v>44</v>
      </c>
      <c r="C44" s="2">
        <f>0.85*C41</f>
        <v>20.299951664520364</v>
      </c>
      <c r="D44" t="s">
        <v>40</v>
      </c>
    </row>
    <row r="46" spans="2:5" x14ac:dyDescent="0.25">
      <c r="C46" s="11" t="str">
        <f>IF(C44&gt;C37,"ØVc &gt;  Vu … OK ¡","ØVc &lt;  Vu … ERROR ¡")</f>
        <v>ØVc &gt;  Vu … OK ¡</v>
      </c>
    </row>
    <row r="48" spans="2:5" x14ac:dyDescent="0.25">
      <c r="B48" s="12" t="s">
        <v>45</v>
      </c>
    </row>
    <row r="50" spans="2:4" x14ac:dyDescent="0.25">
      <c r="B50" s="1" t="s">
        <v>46</v>
      </c>
      <c r="C50" t="str">
        <f>ROUND(F31,2)&amp;" x (("&amp;ROUND(C32,2)&amp;" - "&amp;C4&amp;") / 2)^2 /2"</f>
        <v>21.46 x ((1.3 - 0.15) / 2)^2 /2</v>
      </c>
    </row>
    <row r="51" spans="2:4" x14ac:dyDescent="0.25">
      <c r="B51" s="1" t="s">
        <v>46</v>
      </c>
      <c r="C51" s="2">
        <f>F31*((C32-C4)/2)^2 /2</f>
        <v>3.5478605769230778</v>
      </c>
      <c r="D51" t="s">
        <v>47</v>
      </c>
    </row>
    <row r="53" spans="2:4" x14ac:dyDescent="0.25">
      <c r="B53" s="12" t="s">
        <v>48</v>
      </c>
    </row>
    <row r="55" spans="2:4" x14ac:dyDescent="0.25">
      <c r="B55" s="1" t="s">
        <v>49</v>
      </c>
      <c r="C55" s="10" t="str">
        <f>ROUND(C51,2)&amp;" x "&amp;10^5&amp;" / ( 3402 x "&amp;ROUND(C19,2)&amp;" )"</f>
        <v>3.55 x 100000 / ( 3402 x 32.37 )</v>
      </c>
    </row>
    <row r="56" spans="2:4" x14ac:dyDescent="0.25">
      <c r="B56" s="1" t="s">
        <v>49</v>
      </c>
      <c r="C56" s="2">
        <f>C51*10^5/(3402*C19)</f>
        <v>3.22223064769025</v>
      </c>
      <c r="D56" t="s">
        <v>50</v>
      </c>
    </row>
    <row r="58" spans="2:4" x14ac:dyDescent="0.25">
      <c r="B58" s="1" t="s">
        <v>51</v>
      </c>
      <c r="C58" t="s">
        <v>52</v>
      </c>
    </row>
    <row r="59" spans="2:4" x14ac:dyDescent="0.25">
      <c r="B59" s="1" t="s">
        <v>51</v>
      </c>
      <c r="C59" s="10" t="str">
        <f>0.0024&amp;" x "&amp;100&amp;" x "&amp;ROUND(C19,2)</f>
        <v>0.0024 x 100 x 32.37</v>
      </c>
    </row>
    <row r="60" spans="2:4" x14ac:dyDescent="0.25">
      <c r="B60" s="1" t="s">
        <v>51</v>
      </c>
      <c r="C60" s="2">
        <f>0.0024*100*C19</f>
        <v>7.7675999999999998</v>
      </c>
      <c r="D60" t="s">
        <v>50</v>
      </c>
    </row>
    <row r="62" spans="2:4" x14ac:dyDescent="0.25">
      <c r="B62" s="1" t="s">
        <v>54</v>
      </c>
      <c r="C62" s="2">
        <f>IF(C56&lt;C60,C60,C56)</f>
        <v>7.7675999999999998</v>
      </c>
      <c r="D62" t="s">
        <v>50</v>
      </c>
    </row>
    <row r="64" spans="2:4" x14ac:dyDescent="0.25">
      <c r="B64" t="s">
        <v>55</v>
      </c>
      <c r="C64" s="13" t="s">
        <v>26</v>
      </c>
    </row>
    <row r="65" spans="2:8" x14ac:dyDescent="0.25">
      <c r="B65" s="1" t="s">
        <v>53</v>
      </c>
      <c r="C65" s="8" t="str">
        <f>ROUND(C62,2)&amp;"/"&amp;VLOOKUP(C64,$I$17:$K$25,2,0)</f>
        <v>7.77/1.29</v>
      </c>
      <c r="D65" s="14">
        <f>ROUND(C62/VLOOKUP(C64,$I$17:$K$25,3,0),0)</f>
        <v>6</v>
      </c>
    </row>
    <row r="66" spans="2:8" x14ac:dyDescent="0.25">
      <c r="B66" s="1" t="s">
        <v>56</v>
      </c>
      <c r="C66" s="1" t="str">
        <f>1&amp;" / "&amp;(D65)</f>
        <v>1 / 6</v>
      </c>
      <c r="D66" s="2">
        <f>ROUNDDOWN(1/D65,2)</f>
        <v>0.16</v>
      </c>
      <c r="E66" t="s">
        <v>8</v>
      </c>
    </row>
    <row r="68" spans="2:8" x14ac:dyDescent="0.25">
      <c r="B68" s="16"/>
      <c r="C68" s="17" t="str">
        <f>"Ø "&amp;C64&amp;" @ "&amp;FLOOR(D66,0.05)&amp;" m"</f>
        <v>Ø 1/2 " @ 0.15 m</v>
      </c>
      <c r="D68" s="16"/>
    </row>
    <row r="70" spans="2:8" x14ac:dyDescent="0.25">
      <c r="B70" s="12" t="s">
        <v>57</v>
      </c>
    </row>
    <row r="72" spans="2:8" x14ac:dyDescent="0.25">
      <c r="B72" s="1" t="s">
        <v>58</v>
      </c>
      <c r="C72" t="s">
        <v>59</v>
      </c>
    </row>
    <row r="73" spans="2:8" x14ac:dyDescent="0.25">
      <c r="B73" s="1" t="s">
        <v>58</v>
      </c>
      <c r="C73" s="10" t="str">
        <f>"0.0018 x "&amp;ROUND(C32,2)&amp;" x "&amp;C14*100</f>
        <v>0.0018 x 1.3 x 40</v>
      </c>
    </row>
    <row r="74" spans="2:8" x14ac:dyDescent="0.25">
      <c r="B74" s="1" t="s">
        <v>58</v>
      </c>
      <c r="C74" s="2">
        <f>0.0018*C32*100*C14*100</f>
        <v>9.3600000000000012</v>
      </c>
    </row>
    <row r="76" spans="2:8" x14ac:dyDescent="0.25">
      <c r="B76" s="1" t="s">
        <v>54</v>
      </c>
      <c r="C76" s="2">
        <f>IF(C70&lt;C74,C74,C70)</f>
        <v>9.3600000000000012</v>
      </c>
      <c r="D76" t="s">
        <v>50</v>
      </c>
    </row>
    <row r="78" spans="2:8" x14ac:dyDescent="0.25">
      <c r="B78" t="s">
        <v>55</v>
      </c>
      <c r="C78" s="13" t="s">
        <v>26</v>
      </c>
      <c r="F78" t="s">
        <v>60</v>
      </c>
      <c r="G78" s="5">
        <v>7</v>
      </c>
      <c r="H78" t="s">
        <v>14</v>
      </c>
    </row>
    <row r="79" spans="2:8" x14ac:dyDescent="0.25">
      <c r="B79" s="1" t="s">
        <v>53</v>
      </c>
      <c r="C79" s="8" t="str">
        <f>ROUND(C76,2)&amp;"/"&amp;VLOOKUP(C78,$I$17:$K$25,2,0)</f>
        <v>9.36/1.29</v>
      </c>
      <c r="D79" s="14">
        <f>ROUND(C76/VLOOKUP(C78,$I$17:$K$25,3,0),0)</f>
        <v>7</v>
      </c>
    </row>
    <row r="80" spans="2:8" x14ac:dyDescent="0.25">
      <c r="B80" s="1" t="s">
        <v>56</v>
      </c>
      <c r="C80" s="8" t="str">
        <f>"( "&amp;ROUND(C32*100,0)&amp;" - 2 x "&amp;G78&amp;" ) / "&amp;D79</f>
        <v>( 130 - 2 x 7 ) / 7</v>
      </c>
      <c r="G80" s="1" t="s">
        <v>64</v>
      </c>
    </row>
    <row r="81" spans="2:8" x14ac:dyDescent="0.25">
      <c r="B81" s="1" t="s">
        <v>56</v>
      </c>
      <c r="C81" s="2">
        <f>(C32*100-2*G78)/D79</f>
        <v>16.571428571428573</v>
      </c>
      <c r="D81" t="s">
        <v>14</v>
      </c>
      <c r="F81" s="1" t="s">
        <v>61</v>
      </c>
      <c r="G81">
        <f>5*C14</f>
        <v>2</v>
      </c>
      <c r="H81" t="s">
        <v>62</v>
      </c>
    </row>
    <row r="82" spans="2:8" x14ac:dyDescent="0.25">
      <c r="B82" s="1" t="s">
        <v>56</v>
      </c>
      <c r="C82" s="2">
        <f>ROUND(C81/100,2)</f>
        <v>0.17</v>
      </c>
      <c r="D82" t="s">
        <v>8</v>
      </c>
      <c r="E82" s="11" t="str">
        <f>IF(AND(C82&lt;=5*C14,C82&lt;=0.45),"Cumple","NO cumple")</f>
        <v>Cumple</v>
      </c>
      <c r="F82" s="1" t="s">
        <v>61</v>
      </c>
      <c r="G82">
        <f>0.45</f>
        <v>0.45</v>
      </c>
      <c r="H82" t="s">
        <v>63</v>
      </c>
    </row>
    <row r="83" spans="2:8" x14ac:dyDescent="0.25">
      <c r="B83" s="1"/>
      <c r="C83" s="2"/>
    </row>
    <row r="84" spans="2:8" x14ac:dyDescent="0.25">
      <c r="B84" s="16"/>
      <c r="C84" s="17" t="str">
        <f>"Ø "&amp;C78&amp;" @ "&amp;FLOOR(C82,0.05)&amp;" m"</f>
        <v>Ø 1/2 " @ 0.15 m</v>
      </c>
      <c r="D84" s="16"/>
    </row>
    <row r="92" spans="2:8" x14ac:dyDescent="0.25">
      <c r="E92" s="18">
        <f>C14</f>
        <v>0.4</v>
      </c>
      <c r="F92" t="s">
        <v>8</v>
      </c>
    </row>
    <row r="95" spans="2:8" x14ac:dyDescent="0.25">
      <c r="C95" s="2">
        <f>C32</f>
        <v>1.3</v>
      </c>
      <c r="D95" t="s">
        <v>8</v>
      </c>
    </row>
    <row r="98" spans="3:6" x14ac:dyDescent="0.25">
      <c r="F98" s="15"/>
    </row>
    <row r="99" spans="3:6" x14ac:dyDescent="0.25">
      <c r="F99" s="15" t="str">
        <f>C84</f>
        <v>Ø 1/2 " @ 0.15 m</v>
      </c>
    </row>
    <row r="103" spans="3:6" x14ac:dyDescent="0.25">
      <c r="F103" s="15" t="str">
        <f>C68</f>
        <v>Ø 1/2 " @ 0.15 m</v>
      </c>
    </row>
    <row r="106" spans="3:6" x14ac:dyDescent="0.25">
      <c r="F106" t="s">
        <v>65</v>
      </c>
    </row>
    <row r="110" spans="3:6" x14ac:dyDescent="0.25">
      <c r="C110" s="2">
        <f>C95</f>
        <v>1.3</v>
      </c>
      <c r="D110" t="s">
        <v>8</v>
      </c>
    </row>
  </sheetData>
  <dataValidations count="1">
    <dataValidation type="list" allowBlank="1" showInputMessage="1" showErrorMessage="1" sqref="C16 C64 C78" xr:uid="{CF17C183-EF1D-4AAC-AAB2-29AF8C933D9C}">
      <formula1>$I$19:$I$25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7"/>
  <sheetViews>
    <sheetView view="pageLayout" topLeftCell="A52" zoomScale="78" zoomScaleNormal="106" zoomScalePageLayoutView="78" workbookViewId="0">
      <selection activeCell="E31" sqref="E31"/>
    </sheetView>
  </sheetViews>
  <sheetFormatPr baseColWidth="10" defaultColWidth="9.140625" defaultRowHeight="15" x14ac:dyDescent="0.25"/>
  <cols>
    <col min="1" max="10" width="9" customWidth="1"/>
  </cols>
  <sheetData>
    <row r="3" spans="1:10" x14ac:dyDescent="0.25">
      <c r="A3" s="1" t="s">
        <v>36</v>
      </c>
      <c r="B3" s="3">
        <f>B5+B6</f>
        <v>7</v>
      </c>
      <c r="C3" t="s">
        <v>37</v>
      </c>
    </row>
    <row r="4" spans="1:10" x14ac:dyDescent="0.25">
      <c r="A4" s="1" t="s">
        <v>2</v>
      </c>
      <c r="B4" s="3">
        <v>0.15</v>
      </c>
      <c r="C4" t="s">
        <v>8</v>
      </c>
      <c r="F4" s="2">
        <f>B4</f>
        <v>0.15</v>
      </c>
      <c r="G4" s="18" t="str">
        <f>C4</f>
        <v>m</v>
      </c>
    </row>
    <row r="5" spans="1:10" x14ac:dyDescent="0.25">
      <c r="A5" s="1" t="s">
        <v>1</v>
      </c>
      <c r="B5" s="3">
        <v>5</v>
      </c>
      <c r="C5" t="s">
        <v>9</v>
      </c>
    </row>
    <row r="6" spans="1:10" x14ac:dyDescent="0.25">
      <c r="A6" s="1" t="s">
        <v>0</v>
      </c>
      <c r="B6" s="3">
        <v>2</v>
      </c>
      <c r="C6" t="s">
        <v>9</v>
      </c>
      <c r="I6" s="10">
        <f>B8</f>
        <v>0.8</v>
      </c>
    </row>
    <row r="7" spans="1:10" x14ac:dyDescent="0.25">
      <c r="A7" s="1" t="s">
        <v>3</v>
      </c>
      <c r="B7" s="3">
        <v>15</v>
      </c>
      <c r="C7" t="s">
        <v>12</v>
      </c>
      <c r="I7" s="1" t="s">
        <v>8</v>
      </c>
    </row>
    <row r="8" spans="1:10" x14ac:dyDescent="0.25">
      <c r="A8" s="1" t="s">
        <v>4</v>
      </c>
      <c r="B8" s="3">
        <v>0.8</v>
      </c>
      <c r="C8" t="s">
        <v>8</v>
      </c>
      <c r="D8" t="s">
        <v>75</v>
      </c>
      <c r="H8" s="2">
        <f>B14</f>
        <v>0.4</v>
      </c>
    </row>
    <row r="9" spans="1:10" x14ac:dyDescent="0.25">
      <c r="A9" s="1" t="s">
        <v>5</v>
      </c>
      <c r="B9" s="4">
        <v>210</v>
      </c>
      <c r="C9" t="s">
        <v>11</v>
      </c>
      <c r="H9" s="1" t="s">
        <v>8</v>
      </c>
    </row>
    <row r="10" spans="1:10" x14ac:dyDescent="0.25">
      <c r="A10" s="1" t="s">
        <v>6</v>
      </c>
      <c r="B10" s="4">
        <v>4200</v>
      </c>
      <c r="C10" t="s">
        <v>11</v>
      </c>
    </row>
    <row r="11" spans="1:10" x14ac:dyDescent="0.25">
      <c r="A11" s="1" t="s">
        <v>7</v>
      </c>
      <c r="B11" s="3">
        <v>1.6</v>
      </c>
      <c r="C11" t="s">
        <v>10</v>
      </c>
      <c r="F11" s="2">
        <f>B31</f>
        <v>0.54858934169279006</v>
      </c>
      <c r="G11" t="s">
        <v>8</v>
      </c>
    </row>
    <row r="14" spans="1:10" x14ac:dyDescent="0.25">
      <c r="A14" s="1" t="s">
        <v>13</v>
      </c>
      <c r="B14" s="5">
        <v>0.4</v>
      </c>
      <c r="C14" t="s">
        <v>8</v>
      </c>
    </row>
    <row r="15" spans="1:10" x14ac:dyDescent="0.25">
      <c r="A15" s="1" t="s">
        <v>77</v>
      </c>
      <c r="B15" s="5">
        <v>7</v>
      </c>
      <c r="C15" t="s">
        <v>14</v>
      </c>
    </row>
    <row r="16" spans="1:10" x14ac:dyDescent="0.25">
      <c r="A16" s="1" t="s">
        <v>17</v>
      </c>
      <c r="B16" s="5" t="s">
        <v>26</v>
      </c>
      <c r="G16" s="1" t="s">
        <v>18</v>
      </c>
      <c r="H16" s="1" t="s">
        <v>19</v>
      </c>
      <c r="I16" s="1" t="s">
        <v>20</v>
      </c>
      <c r="J16" s="1" t="s">
        <v>78</v>
      </c>
    </row>
    <row r="17" spans="1:10" x14ac:dyDescent="0.25">
      <c r="G17" s="1">
        <v>1</v>
      </c>
      <c r="H17" s="1" t="s">
        <v>22</v>
      </c>
      <c r="I17" s="1">
        <v>0.28000000000000003</v>
      </c>
      <c r="J17" s="1">
        <v>0.6</v>
      </c>
    </row>
    <row r="18" spans="1:10" x14ac:dyDescent="0.25">
      <c r="A18" s="1" t="s">
        <v>15</v>
      </c>
      <c r="B18" s="7" t="str">
        <f>B14*100&amp;" - ( "&amp;B15&amp;" + "&amp;VLOOKUP(B16,H17:J25,3,0)&amp;" /2 )"</f>
        <v>40 - ( 7 + 1.27 /2 )</v>
      </c>
      <c r="G18" s="1">
        <v>2</v>
      </c>
      <c r="H18" s="1" t="s">
        <v>23</v>
      </c>
      <c r="I18" s="1">
        <v>0.5</v>
      </c>
      <c r="J18" s="1">
        <v>0.8</v>
      </c>
    </row>
    <row r="19" spans="1:10" x14ac:dyDescent="0.25">
      <c r="A19" s="1" t="s">
        <v>15</v>
      </c>
      <c r="B19" s="6">
        <f>B14*100-(B15+VLOOKUP(B16,H17:J25,3,0)/2)</f>
        <v>32.365000000000002</v>
      </c>
      <c r="C19" t="s">
        <v>14</v>
      </c>
      <c r="G19" s="1">
        <v>3</v>
      </c>
      <c r="H19" s="1" t="s">
        <v>24</v>
      </c>
      <c r="I19" s="1">
        <v>0.71</v>
      </c>
      <c r="J19" s="1">
        <v>0.95</v>
      </c>
    </row>
    <row r="20" spans="1:10" x14ac:dyDescent="0.25">
      <c r="G20" s="1"/>
      <c r="H20" s="1" t="s">
        <v>25</v>
      </c>
      <c r="I20" s="1">
        <v>1.1299999999999999</v>
      </c>
      <c r="J20" s="1">
        <v>1.2</v>
      </c>
    </row>
    <row r="21" spans="1:10" x14ac:dyDescent="0.25">
      <c r="A21" s="1" t="s">
        <v>15</v>
      </c>
      <c r="B21" s="7" t="str">
        <f>B14*100&amp;" - ( "&amp;B15&amp;" + "&amp;VLOOKUP(B16,H17:J25,3,0)&amp;" + "&amp;VLOOKUP(B16,H17:J25,3,0)&amp;" /2 )"</f>
        <v>40 - ( 7 + 1.27 + 1.27 /2 )</v>
      </c>
      <c r="G21" s="1">
        <v>4</v>
      </c>
      <c r="H21" s="1" t="s">
        <v>26</v>
      </c>
      <c r="I21" s="1">
        <v>1.29</v>
      </c>
      <c r="J21" s="1">
        <v>1.27</v>
      </c>
    </row>
    <row r="22" spans="1:10" x14ac:dyDescent="0.25">
      <c r="A22" s="1" t="s">
        <v>15</v>
      </c>
      <c r="B22" s="6">
        <f>B14*100-(B15+VLOOKUP(B16,H17:J25,3,0)+VLOOKUP(B16,H17:J25,3,0)/2)</f>
        <v>31.094999999999999</v>
      </c>
      <c r="C22" t="s">
        <v>14</v>
      </c>
      <c r="G22" s="1">
        <v>5</v>
      </c>
      <c r="H22" s="1" t="s">
        <v>27</v>
      </c>
      <c r="I22" s="1">
        <v>1.99</v>
      </c>
      <c r="J22" s="1">
        <v>1.59</v>
      </c>
    </row>
    <row r="23" spans="1:10" x14ac:dyDescent="0.25">
      <c r="G23" s="1">
        <v>6</v>
      </c>
      <c r="H23" s="1" t="s">
        <v>28</v>
      </c>
      <c r="I23" s="1">
        <v>2.84</v>
      </c>
      <c r="J23" s="1">
        <v>1.91</v>
      </c>
    </row>
    <row r="24" spans="1:10" x14ac:dyDescent="0.25">
      <c r="A24" s="9" t="s">
        <v>31</v>
      </c>
      <c r="G24" s="1">
        <v>8</v>
      </c>
      <c r="H24" s="1" t="s">
        <v>29</v>
      </c>
      <c r="I24" s="1">
        <v>5.0999999999999996</v>
      </c>
      <c r="J24" s="1">
        <v>2.54</v>
      </c>
    </row>
    <row r="25" spans="1:10" x14ac:dyDescent="0.25">
      <c r="G25" s="1">
        <v>11</v>
      </c>
      <c r="H25" s="1" t="s">
        <v>30</v>
      </c>
      <c r="I25" s="1">
        <v>9.58</v>
      </c>
      <c r="J25" s="1">
        <v>3.49</v>
      </c>
    </row>
    <row r="26" spans="1:10" x14ac:dyDescent="0.25">
      <c r="A26" s="1" t="s">
        <v>34</v>
      </c>
      <c r="B26" s="10" t="str">
        <f>B7&amp;" - "&amp;B11&amp;" x "&amp;B8&amp;" - 2.4 x "&amp;B14</f>
        <v>15 - 1.6 x 0.8 - 2.4 x 0.4</v>
      </c>
    </row>
    <row r="27" spans="1:10" x14ac:dyDescent="0.25">
      <c r="A27" s="1" t="s">
        <v>34</v>
      </c>
      <c r="B27" s="2">
        <f>B7-B11*B8-2.4*B14</f>
        <v>12.759999999999998</v>
      </c>
      <c r="C27" t="s">
        <v>32</v>
      </c>
    </row>
    <row r="29" spans="1:10" x14ac:dyDescent="0.25">
      <c r="A29" s="1" t="s">
        <v>33</v>
      </c>
      <c r="B29" s="1" t="s">
        <v>35</v>
      </c>
      <c r="D29" s="1" t="s">
        <v>41</v>
      </c>
      <c r="E29" s="1" t="s">
        <v>38</v>
      </c>
    </row>
    <row r="30" spans="1:10" x14ac:dyDescent="0.25">
      <c r="A30" s="1" t="s">
        <v>33</v>
      </c>
      <c r="B30" s="2" t="str">
        <f>B3&amp;" / "&amp;B27</f>
        <v>7 / 12.76</v>
      </c>
      <c r="D30" s="1" t="s">
        <v>41</v>
      </c>
      <c r="E30" s="10" t="str">
        <f>"(1.4x"&amp;B5&amp;"+1.7x"&amp;B6&amp;" ) / "&amp;ROUND(B31,2)</f>
        <v>(1.4x5+1.7x2 ) / 0.55</v>
      </c>
    </row>
    <row r="31" spans="1:10" x14ac:dyDescent="0.25">
      <c r="A31" s="1" t="s">
        <v>33</v>
      </c>
      <c r="B31" s="2">
        <f>B3/B27</f>
        <v>0.54858934169279006</v>
      </c>
      <c r="C31" t="s">
        <v>8</v>
      </c>
      <c r="D31" s="1" t="s">
        <v>41</v>
      </c>
      <c r="E31" s="2">
        <f>(1.4*B5+1.7*B6)/B31</f>
        <v>18.957714285714282</v>
      </c>
      <c r="F31" t="s">
        <v>8</v>
      </c>
    </row>
    <row r="32" spans="1:10" x14ac:dyDescent="0.25">
      <c r="B32" s="19" t="str">
        <f>IF(B31&gt;0.6,"Cumple","NO cumple ,… B ≥ 0.60 m")</f>
        <v>NO cumple ,… B ≥ 0.60 m</v>
      </c>
    </row>
    <row r="34" spans="1:3" x14ac:dyDescent="0.25">
      <c r="A34" s="9" t="s">
        <v>42</v>
      </c>
    </row>
    <row r="36" spans="1:3" x14ac:dyDescent="0.25">
      <c r="A36" s="1" t="s">
        <v>39</v>
      </c>
      <c r="B36" t="str">
        <f>"(("&amp;ROUND(B31,2)&amp;" - "&amp;B4&amp;" ) / 2 - "&amp;ROUND(B19/100,2)&amp;" ) x 1 x "&amp;ROUND(E31,2)</f>
        <v>((0.55 - 0.15 ) / 2 - 0.32 ) x 1 x 18.96</v>
      </c>
    </row>
    <row r="37" spans="1:3" x14ac:dyDescent="0.25">
      <c r="A37" s="1" t="s">
        <v>39</v>
      </c>
      <c r="B37" s="2">
        <f>((B31-B4)/2-B19/100)*1*E31</f>
        <v>-2.3574927999999988</v>
      </c>
      <c r="C37" t="s">
        <v>40</v>
      </c>
    </row>
    <row r="39" spans="1:3" x14ac:dyDescent="0.25">
      <c r="A39" s="1"/>
    </row>
    <row r="40" spans="1:3" x14ac:dyDescent="0.25">
      <c r="A40" s="1" t="s">
        <v>43</v>
      </c>
      <c r="B40" s="8" t="str">
        <f>"0.53 x RAIZ("&amp;B9&amp;") x 10 x 1 x "&amp;ROUND(B19/100,2)</f>
        <v>0.53 x RAIZ(210) x 10 x 1 x 0.32</v>
      </c>
    </row>
    <row r="41" spans="1:3" x14ac:dyDescent="0.25">
      <c r="A41" s="1" t="s">
        <v>43</v>
      </c>
      <c r="B41" s="2">
        <f>0.53*SQRT(B9)*10*1*B19/100</f>
        <v>24.857710644692325</v>
      </c>
      <c r="C41" t="s">
        <v>40</v>
      </c>
    </row>
    <row r="43" spans="1:3" x14ac:dyDescent="0.25">
      <c r="A43" s="1" t="s">
        <v>44</v>
      </c>
      <c r="B43" t="str">
        <f>"0.85 x "&amp;ROUND(B41,2)</f>
        <v>0.85 x 24.86</v>
      </c>
    </row>
    <row r="44" spans="1:3" x14ac:dyDescent="0.25">
      <c r="A44" s="1" t="s">
        <v>44</v>
      </c>
      <c r="B44" s="2">
        <f>0.85*B41</f>
        <v>21.129054047988475</v>
      </c>
      <c r="C44" t="s">
        <v>40</v>
      </c>
    </row>
    <row r="46" spans="1:3" x14ac:dyDescent="0.25">
      <c r="B46" s="11" t="str">
        <f>IF(B44&gt;B37,"ØVc &gt;  Vu … OK ¡","ØVc &lt;  Vu … ERROR ¡")</f>
        <v>ØVc &gt;  Vu … OK ¡</v>
      </c>
    </row>
    <row r="48" spans="1:3" x14ac:dyDescent="0.25">
      <c r="A48" s="12" t="s">
        <v>45</v>
      </c>
    </row>
    <row r="50" spans="1:3" x14ac:dyDescent="0.25">
      <c r="A50" s="1" t="s">
        <v>46</v>
      </c>
      <c r="B50" t="str">
        <f>ROUND(E31,2)&amp;" x (("&amp;ROUND(B31,2)&amp;" - "&amp;B4&amp;") / 2)^2 /2"</f>
        <v>18.96 x ((0.55 - 0.15) / 2)^2 /2</v>
      </c>
    </row>
    <row r="51" spans="1:3" x14ac:dyDescent="0.25">
      <c r="A51" s="1" t="s">
        <v>46</v>
      </c>
      <c r="B51" s="2">
        <f>E31*((B31-B4)/2)^2 /2</f>
        <v>0.37648471562919844</v>
      </c>
      <c r="C51" t="s">
        <v>47</v>
      </c>
    </row>
    <row r="53" spans="1:3" x14ac:dyDescent="0.25">
      <c r="A53" s="12" t="s">
        <v>48</v>
      </c>
    </row>
    <row r="55" spans="1:3" x14ac:dyDescent="0.25">
      <c r="A55" s="1" t="s">
        <v>49</v>
      </c>
      <c r="B55" s="10" t="str">
        <f>ROUND(B51,2)&amp;" x "&amp;10^5&amp;" / ( 3402 x "&amp;ROUND(B19,2)&amp;" )"</f>
        <v>0.38 x 100000 / ( 3402 x 32.37 )</v>
      </c>
    </row>
    <row r="56" spans="1:3" x14ac:dyDescent="0.25">
      <c r="A56" s="1" t="s">
        <v>49</v>
      </c>
      <c r="B56" s="2">
        <f>B51*10^5/(3402*B19)</f>
        <v>0.34193017532257264</v>
      </c>
      <c r="C56" t="s">
        <v>50</v>
      </c>
    </row>
    <row r="58" spans="1:3" x14ac:dyDescent="0.25">
      <c r="A58" s="1" t="s">
        <v>51</v>
      </c>
      <c r="B58" t="s">
        <v>52</v>
      </c>
    </row>
    <row r="59" spans="1:3" x14ac:dyDescent="0.25">
      <c r="A59" s="1" t="s">
        <v>51</v>
      </c>
      <c r="B59" s="10" t="str">
        <f>0.0024&amp;" x "&amp;100&amp;" x "&amp;ROUND(B19,2)</f>
        <v>0.0024 x 100 x 32.37</v>
      </c>
    </row>
    <row r="60" spans="1:3" x14ac:dyDescent="0.25">
      <c r="A60" s="1" t="s">
        <v>51</v>
      </c>
      <c r="B60" s="2">
        <f>0.0024*100*B19</f>
        <v>7.7675999999999998</v>
      </c>
      <c r="C60" t="s">
        <v>50</v>
      </c>
    </row>
    <row r="62" spans="1:3" x14ac:dyDescent="0.25">
      <c r="A62" s="1" t="s">
        <v>54</v>
      </c>
      <c r="B62" s="2">
        <f>IF(B56&lt;B60,B60,B56)</f>
        <v>7.7675999999999998</v>
      </c>
      <c r="C62" t="s">
        <v>50</v>
      </c>
    </row>
    <row r="64" spans="1:3" x14ac:dyDescent="0.25">
      <c r="A64" t="s">
        <v>55</v>
      </c>
      <c r="B64" s="13" t="s">
        <v>26</v>
      </c>
    </row>
    <row r="65" spans="1:7" x14ac:dyDescent="0.25">
      <c r="A65" s="1" t="s">
        <v>53</v>
      </c>
      <c r="B65" s="8" t="str">
        <f>ROUND(B62,2)&amp;" / "&amp;VLOOKUP(B64,$H$17:$J$25,2,0)</f>
        <v>7.77 / 1.29</v>
      </c>
      <c r="C65" s="14">
        <f>ROUND(B62/VLOOKUP(B64,$H$17:$J$25,3,0),0)</f>
        <v>6</v>
      </c>
    </row>
    <row r="66" spans="1:7" x14ac:dyDescent="0.25">
      <c r="A66" s="1" t="s">
        <v>56</v>
      </c>
      <c r="B66" s="1" t="str">
        <f>1&amp;" / "&amp;(C65)</f>
        <v>1 / 6</v>
      </c>
      <c r="C66" s="2">
        <f>1/C65</f>
        <v>0.16666666666666666</v>
      </c>
      <c r="D66" t="s">
        <v>8</v>
      </c>
    </row>
    <row r="68" spans="1:7" x14ac:dyDescent="0.25">
      <c r="A68" s="16"/>
      <c r="B68" s="17" t="str">
        <f>"Ø "&amp;B64&amp;" @ "&amp;ROUND(C66,2)&amp;" m"</f>
        <v>Ø 1/2 " @ 0.17 m</v>
      </c>
      <c r="C68" s="16"/>
    </row>
    <row r="70" spans="1:7" x14ac:dyDescent="0.25">
      <c r="A70" s="12" t="s">
        <v>57</v>
      </c>
    </row>
    <row r="72" spans="1:7" x14ac:dyDescent="0.25">
      <c r="A72" s="1" t="s">
        <v>58</v>
      </c>
      <c r="B72" t="s">
        <v>59</v>
      </c>
    </row>
    <row r="73" spans="1:7" x14ac:dyDescent="0.25">
      <c r="A73" s="1" t="s">
        <v>58</v>
      </c>
      <c r="B73" s="10" t="str">
        <f>"0.0018 x "&amp;ROUND(B31,2)&amp;" x "&amp;B14*100</f>
        <v>0.0018 x 0.55 x 40</v>
      </c>
    </row>
    <row r="74" spans="1:7" x14ac:dyDescent="0.25">
      <c r="A74" s="1" t="s">
        <v>58</v>
      </c>
      <c r="B74" s="2">
        <f>0.0018*B31*100*B14*100</f>
        <v>3.9498432601880893</v>
      </c>
    </row>
    <row r="76" spans="1:7" x14ac:dyDescent="0.25">
      <c r="A76" s="1" t="s">
        <v>54</v>
      </c>
      <c r="B76" s="2">
        <f>IF(B70&lt;B74,B74,B70)</f>
        <v>3.9498432601880893</v>
      </c>
      <c r="C76" t="s">
        <v>50</v>
      </c>
    </row>
    <row r="78" spans="1:7" x14ac:dyDescent="0.25">
      <c r="A78" t="s">
        <v>55</v>
      </c>
      <c r="B78" s="13" t="s">
        <v>26</v>
      </c>
      <c r="E78" t="s">
        <v>60</v>
      </c>
      <c r="F78" s="5">
        <v>7</v>
      </c>
      <c r="G78" t="s">
        <v>14</v>
      </c>
    </row>
    <row r="79" spans="1:7" x14ac:dyDescent="0.25">
      <c r="A79" s="1" t="s">
        <v>53</v>
      </c>
      <c r="B79" s="8" t="str">
        <f>ROUND(B76,2)&amp;" / "&amp;VLOOKUP(B78,$H$17:$J$25,2,0)</f>
        <v>3.95 / 1.29</v>
      </c>
      <c r="C79" s="14">
        <f>ROUND(B76/VLOOKUP(B78,$H$17:$J$25,3,0),0)</f>
        <v>3</v>
      </c>
    </row>
    <row r="80" spans="1:7" x14ac:dyDescent="0.25">
      <c r="A80" s="1" t="s">
        <v>56</v>
      </c>
      <c r="B80" s="8" t="str">
        <f>"( "&amp;ROUND(B31*100,0)&amp;" - 2 x "&amp;F78&amp;" ) / "&amp;C79</f>
        <v>( 55 - 2 x 7 ) / 3</v>
      </c>
      <c r="F80" s="1" t="s">
        <v>64</v>
      </c>
    </row>
    <row r="81" spans="1:7" x14ac:dyDescent="0.25">
      <c r="A81" s="1" t="s">
        <v>56</v>
      </c>
      <c r="B81" s="2">
        <f>(B31*100-2*F78)/C79</f>
        <v>13.619644723093002</v>
      </c>
      <c r="C81" t="s">
        <v>14</v>
      </c>
      <c r="E81" s="1" t="s">
        <v>61</v>
      </c>
      <c r="F81">
        <f>5*B14</f>
        <v>2</v>
      </c>
      <c r="G81" t="s">
        <v>62</v>
      </c>
    </row>
    <row r="82" spans="1:7" x14ac:dyDescent="0.25">
      <c r="A82" s="1" t="s">
        <v>56</v>
      </c>
      <c r="B82" s="2">
        <f>ROUND(B81/100,2)</f>
        <v>0.14000000000000001</v>
      </c>
      <c r="C82" t="s">
        <v>8</v>
      </c>
      <c r="D82" s="11" t="str">
        <f>IF(AND(B82&lt;=5*B14,B82&lt;=0.45),"Cumple","NO cumple")</f>
        <v>Cumple</v>
      </c>
      <c r="E82" s="1" t="s">
        <v>61</v>
      </c>
      <c r="F82">
        <f>0.45</f>
        <v>0.45</v>
      </c>
      <c r="G82" t="s">
        <v>63</v>
      </c>
    </row>
    <row r="83" spans="1:7" x14ac:dyDescent="0.25">
      <c r="A83" s="1"/>
      <c r="B83" s="2"/>
    </row>
    <row r="84" spans="1:7" x14ac:dyDescent="0.25">
      <c r="A84" s="16"/>
      <c r="B84" s="17" t="str">
        <f>"Ø "&amp;B78&amp;" @ "&amp;B82&amp;" m"</f>
        <v>Ø 1/2 " @ 0.14 m</v>
      </c>
      <c r="C84" s="16"/>
    </row>
    <row r="87" spans="1:7" x14ac:dyDescent="0.25">
      <c r="B87" s="2">
        <f>B4</f>
        <v>0.15</v>
      </c>
      <c r="C87" s="18" t="str">
        <f>C4</f>
        <v>m</v>
      </c>
    </row>
    <row r="91" spans="1:7" x14ac:dyDescent="0.25">
      <c r="D91" s="18">
        <f>B14</f>
        <v>0.4</v>
      </c>
      <c r="E91" t="s">
        <v>8</v>
      </c>
    </row>
    <row r="94" spans="1:7" x14ac:dyDescent="0.25">
      <c r="B94" s="2">
        <f>B31</f>
        <v>0.54858934169279006</v>
      </c>
      <c r="C94" t="s">
        <v>8</v>
      </c>
    </row>
    <row r="97" spans="1:5" x14ac:dyDescent="0.25">
      <c r="E97" s="15"/>
    </row>
    <row r="98" spans="1:5" x14ac:dyDescent="0.25">
      <c r="E98" s="15" t="str">
        <f>B84</f>
        <v>Ø 1/2 " @ 0.14 m</v>
      </c>
    </row>
    <row r="102" spans="1:5" x14ac:dyDescent="0.25">
      <c r="E102" s="15" t="str">
        <f>B68</f>
        <v>Ø 1/2 " @ 0.17 m</v>
      </c>
    </row>
    <row r="105" spans="1:5" x14ac:dyDescent="0.25">
      <c r="E105" t="s">
        <v>65</v>
      </c>
    </row>
    <row r="109" spans="1:5" x14ac:dyDescent="0.25">
      <c r="B109" s="2">
        <f>B94</f>
        <v>0.54858934169279006</v>
      </c>
      <c r="C109" t="s">
        <v>8</v>
      </c>
    </row>
    <row r="112" spans="1:5" x14ac:dyDescent="0.25">
      <c r="A112" s="1" t="s">
        <v>53</v>
      </c>
      <c r="B112" s="10" t="str">
        <f>B119&amp;" / "&amp;ROUND(D118,0)&amp;" ="</f>
        <v>2000000 / 217371 =</v>
      </c>
      <c r="D112" s="2">
        <f>B119/D118</f>
        <v>9.2008741245647236</v>
      </c>
    </row>
    <row r="113" spans="1:5" x14ac:dyDescent="0.25">
      <c r="A113" s="1" t="s">
        <v>68</v>
      </c>
      <c r="B113" s="8" t="str">
        <f>"2 x RAIZ( "&amp;B9&amp;" ) ="</f>
        <v>2 x RAIZ( 210 ) =</v>
      </c>
      <c r="D113" s="2">
        <f>2*SQRT(B9)</f>
        <v>28.982753492378876</v>
      </c>
      <c r="E113" t="s">
        <v>11</v>
      </c>
    </row>
    <row r="114" spans="1:5" x14ac:dyDescent="0.25">
      <c r="A114" s="1" t="s">
        <v>76</v>
      </c>
      <c r="B114" s="1">
        <v>3</v>
      </c>
    </row>
    <row r="115" spans="1:5" x14ac:dyDescent="0.25">
      <c r="A115" s="1" t="s">
        <v>70</v>
      </c>
      <c r="B115" s="1" t="str">
        <f>B114&amp;" x "&amp;VLOOKUP(B16,H17:J25,3,0)&amp;" ="</f>
        <v>3 x 1.27 =</v>
      </c>
      <c r="D115" s="1">
        <f>B114*VLOOKUP(B16,H17:J25,3,0)</f>
        <v>3.81</v>
      </c>
      <c r="E115" t="s">
        <v>50</v>
      </c>
    </row>
    <row r="116" spans="1:5" x14ac:dyDescent="0.25">
      <c r="A116" s="1" t="s">
        <v>71</v>
      </c>
      <c r="B116" t="str">
        <f>"( "&amp;ROUND(D112,2)&amp;" - 1 ) x "&amp;D115&amp;" ="</f>
        <v>( 9.2 - 1 ) x 3.81 =</v>
      </c>
      <c r="D116" s="2">
        <f>(D112-1)*D115</f>
        <v>31.245330414591596</v>
      </c>
      <c r="E116" t="s">
        <v>50</v>
      </c>
    </row>
    <row r="118" spans="1:5" x14ac:dyDescent="0.25">
      <c r="A118" s="1" t="s">
        <v>67</v>
      </c>
      <c r="B118" t="str">
        <f>"15000 x RAIZ( "&amp;B9&amp;" ) ="</f>
        <v>15000 x RAIZ( 210 ) =</v>
      </c>
      <c r="D118" s="1">
        <f>15000*SQRT(B9)</f>
        <v>217370.65119284156</v>
      </c>
      <c r="E118" t="s">
        <v>11</v>
      </c>
    </row>
    <row r="119" spans="1:5" x14ac:dyDescent="0.25">
      <c r="A119" s="1" t="s">
        <v>66</v>
      </c>
      <c r="B119" s="1">
        <f>2*10^6</f>
        <v>2000000</v>
      </c>
      <c r="C119" t="s">
        <v>11</v>
      </c>
    </row>
    <row r="120" spans="1:5" x14ac:dyDescent="0.25">
      <c r="E120" s="1"/>
    </row>
    <row r="122" spans="1:5" x14ac:dyDescent="0.25">
      <c r="A122" s="1" t="s">
        <v>72</v>
      </c>
      <c r="B122" t="str">
        <f>"(("&amp;B14*100&amp;" x"&amp;ROUND(B31*100,0)&amp;" ) x "&amp;B14*100/2&amp;" + "&amp;ROUND(D116,2)&amp;" x "&amp;ROUND(B19,2)&amp;")/(("&amp;B14*100&amp;" x "&amp;ROUND(B31*100,0)&amp;")+"&amp;ROUND(D116,2)&amp;" )"</f>
        <v>((40 x55 ) x 20 + 31.25 x 32.37)/((40 x 55)+31.25 )</v>
      </c>
    </row>
    <row r="123" spans="1:5" x14ac:dyDescent="0.25">
      <c r="A123" s="1" t="s">
        <v>72</v>
      </c>
      <c r="B123" s="2">
        <f>((B14*100*B31*100)*B14*100/2+D116*B19)/((B14*100*B31*100)+D116)</f>
        <v>20.173592758071763</v>
      </c>
      <c r="C123" t="s">
        <v>14</v>
      </c>
    </row>
    <row r="127" spans="1:5" x14ac:dyDescent="0.25">
      <c r="A127" s="1" t="s">
        <v>69</v>
      </c>
      <c r="B127" t="str">
        <f>""&amp;ROUND(B31*100,0)&amp;" x "&amp;ROUND(B14*100,0)&amp;"^3/12 + "&amp;ROUND(B31*100,0)&amp;" x "&amp;B14*100&amp;" x ("&amp;ROUND(B123,2)&amp;" - "&amp;B14*100&amp;"/2)^2+"&amp;ROUND(D116,2)&amp;" x ("&amp;ROUND(B19,2)&amp;" - "&amp;ROUND(B123,2)&amp;")"</f>
        <v>55 x 40^3/12 + 55 x 40 x (20.17 - 40/2)^2+31.25 x (32.37 - 20.17)</v>
      </c>
    </row>
    <row r="128" spans="1:5" x14ac:dyDescent="0.25">
      <c r="A128" s="1" t="s">
        <v>69</v>
      </c>
      <c r="B128" s="14">
        <f>((B31*100)*(B14*100)^3)/12+B31*100*B14*100*(B123-B14*100/2)^2+D116*(B19-B123)</f>
        <v>293028.03252646409</v>
      </c>
      <c r="C128" t="s">
        <v>79</v>
      </c>
    </row>
    <row r="130" spans="1:7" x14ac:dyDescent="0.25">
      <c r="A130" s="1" t="s">
        <v>46</v>
      </c>
      <c r="B130" t="str">
        <f>"( 1.4 x "&amp;B5&amp;" + "&amp;1.7*B6&amp;" x (("&amp;ROUND(B31,2)&amp;" - "&amp;B4&amp;")/2)^2 )/2"</f>
        <v>( 1.4 x 5 + 3.4 x ((0.55 - 0.15)/2)^2 )/2</v>
      </c>
    </row>
    <row r="131" spans="1:7" x14ac:dyDescent="0.25">
      <c r="A131" s="1" t="s">
        <v>73</v>
      </c>
      <c r="B131" s="2">
        <f>1.4*B5+1.7*B6*((B31-B4)/2)^2</f>
        <v>7.1350424438144282</v>
      </c>
      <c r="C131" t="s">
        <v>80</v>
      </c>
    </row>
    <row r="133" spans="1:7" x14ac:dyDescent="0.25">
      <c r="A133" s="1" t="s">
        <v>81</v>
      </c>
      <c r="B133" t="str">
        <f>"( "&amp;ROUND(B131,2)*10^5&amp;" / "&amp;ROUND(B128,0)&amp;" ) x ( "&amp;B14*100&amp;" - "&amp;ROUND(B123,2)&amp;" )"</f>
        <v>( 714000 / 293028 ) x ( 40 - 20.17 )</v>
      </c>
    </row>
    <row r="134" spans="1:7" x14ac:dyDescent="0.25">
      <c r="A134" s="1" t="s">
        <v>81</v>
      </c>
      <c r="B134" s="2">
        <f>(B131*10^5/B128)*(B14*100-B123)</f>
        <v>48.276015082868192</v>
      </c>
      <c r="C134" t="s">
        <v>11</v>
      </c>
    </row>
    <row r="135" spans="1:7" x14ac:dyDescent="0.25">
      <c r="G135" t="s">
        <v>83</v>
      </c>
    </row>
    <row r="136" spans="1:7" ht="15.75" x14ac:dyDescent="0.25">
      <c r="A136" s="1" t="s">
        <v>81</v>
      </c>
      <c r="B136" s="2">
        <f>B134</f>
        <v>48.276015082868192</v>
      </c>
      <c r="C136" t="str">
        <f>C134</f>
        <v>kg/cm2</v>
      </c>
      <c r="D136" s="20" t="s">
        <v>82</v>
      </c>
      <c r="E136" s="1" t="str">
        <f>A113</f>
        <v>fr =</v>
      </c>
      <c r="F136" s="2">
        <f>D113</f>
        <v>28.982753492378876</v>
      </c>
      <c r="G136" t="str">
        <f>E113</f>
        <v>kg/cm2</v>
      </c>
    </row>
    <row r="137" spans="1:7" ht="15.75" x14ac:dyDescent="0.25">
      <c r="D137" s="21" t="str">
        <f>IF(B136&lt;F136,"No se agrieta","Se agrieta")</f>
        <v>Se agrieta</v>
      </c>
    </row>
  </sheetData>
  <phoneticPr fontId="4" type="noConversion"/>
  <dataValidations disablePrompts="1" count="1">
    <dataValidation type="list" allowBlank="1" showInputMessage="1" showErrorMessage="1" sqref="B16 B78 B64" xr:uid="{CA0376CB-C2E9-456C-B079-8414C0678878}">
      <formula1>$H$19:$H$25</formula1>
    </dataValidation>
  </dataValidations>
  <pageMargins left="0.70866141732283461" right="0.70866141732283461" top="0.74803149606299213" bottom="0.74803149606299213" header="0.31496062992125984" footer="0.31496062992125984"/>
  <pageSetup orientation="portrait" horizontalDpi="4294967293" r:id="rId1"/>
  <headerFooter>
    <oddHeader>&amp;C&amp;"-,Negrita"&amp;16Zapata Cimiento Continuo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CimientoContinuo (2)</vt:lpstr>
      <vt:lpstr>CimientoContinuo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2024-04-28T18:28:26Z</dcterms:created>
  <dcterms:modified xsi:type="dcterms:W3CDTF">2024-04-28T18:47:30Z</dcterms:modified>
</cp:coreProperties>
</file>